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codeName="ThisWorkbook" hidePivotFieldList="1" defaultThemeVersion="166925"/>
  <xr:revisionPtr revIDLastSave="0" documentId="13_ncr:1_{66CF9651-0AE4-4723-87EC-206369855A58}" xr6:coauthVersionLast="47" xr6:coauthVersionMax="47" xr10:uidLastSave="{00000000-0000-0000-0000-000000000000}"/>
  <bookViews>
    <workbookView xWindow="-110" yWindow="-110" windowWidth="19420" windowHeight="10420" tabRatio="840" activeTab="2" xr2:uid="{00000000-000D-0000-FFFF-FFFF00000000}"/>
  </bookViews>
  <sheets>
    <sheet name="Instructions" sheetId="21" r:id="rId1"/>
    <sheet name="Exogenous Costs" sheetId="24" r:id="rId2"/>
    <sheet name="Factor Dev" sheetId="5" r:id="rId3"/>
    <sheet name="Study Area TRP" sheetId="66" r:id="rId4"/>
    <sheet name="Date sheet" sheetId="69" state="hidden" r:id="rId5"/>
  </sheets>
  <definedNames>
    <definedName name="SA270426NONRECUR" localSheetId="4">#REF!</definedName>
    <definedName name="SA270426NONRECUR">#REF!</definedName>
    <definedName name="SA270426RECUR" localSheetId="4">#REF!</definedName>
    <definedName name="SA270426RECUR">#REF!</definedName>
    <definedName name="SA300633NONRECUR">#REF!</definedName>
    <definedName name="SA300658NONRECUR" localSheetId="4">#REF!</definedName>
    <definedName name="SA300658NONRECUR">#REF!</definedName>
    <definedName name="SA300658RECUR" localSheetId="4">#REF!</definedName>
    <definedName name="SA300658RECUR">#REF!</definedName>
    <definedName name="SA351156NONRECUR" localSheetId="4">#REF!</definedName>
    <definedName name="SA351156NONRECUR">#REF!</definedName>
    <definedName name="SA351156RECUR" localSheetId="4">#REF!</definedName>
    <definedName name="SA351156RECUR">#REF!</definedName>
    <definedName name="SA351343NONRECUR" localSheetId="4">#REF!</definedName>
    <definedName name="SA351343NONRECUR">#REF!</definedName>
    <definedName name="SA351343RECUR" localSheetId="4">#REF!</definedName>
    <definedName name="SA351343RECUR">#REF!</definedName>
    <definedName name="SA371574NONRECUR" localSheetId="4">#REF!</definedName>
    <definedName name="SA371574NONRECUR">#REF!</definedName>
    <definedName name="SA371574RECUR" localSheetId="4">#REF!</definedName>
    <definedName name="SA371574RECU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6" i="5" l="1"/>
  <c r="M30" i="66"/>
  <c r="L30" i="66"/>
  <c r="K30" i="66"/>
  <c r="P15" i="5" l="1"/>
  <c r="AF20" i="24"/>
  <c r="AD20" i="24"/>
  <c r="AC20" i="24"/>
  <c r="AB20" i="24"/>
  <c r="X20" i="24"/>
  <c r="V20" i="24"/>
  <c r="U20" i="24"/>
  <c r="T20" i="24"/>
  <c r="AE20" i="24" l="1"/>
  <c r="Q21" i="24" l="1"/>
  <c r="A1" i="66" l="1"/>
  <c r="I13" i="66" l="1"/>
  <c r="AF21" i="24"/>
  <c r="AD21" i="24"/>
  <c r="AC21" i="24"/>
  <c r="AE21" i="24" s="1"/>
  <c r="AB21" i="24"/>
  <c r="X21" i="24"/>
  <c r="V21" i="24"/>
  <c r="U21" i="24"/>
  <c r="W21" i="24" s="1"/>
  <c r="T21" i="24"/>
  <c r="L102" i="66" l="1"/>
  <c r="K102" i="66"/>
  <c r="J102" i="66"/>
  <c r="I102" i="66"/>
  <c r="H102" i="66"/>
  <c r="G102" i="66"/>
  <c r="F102" i="66"/>
  <c r="E102" i="66"/>
  <c r="D102" i="66"/>
  <c r="C102" i="66"/>
  <c r="N31" i="66"/>
  <c r="M31" i="66"/>
  <c r="L31" i="66"/>
  <c r="K31" i="66"/>
  <c r="J31" i="66"/>
  <c r="I31" i="66"/>
  <c r="H31" i="66"/>
  <c r="G31" i="66"/>
  <c r="F31" i="66"/>
  <c r="E31" i="66"/>
  <c r="D31" i="66"/>
  <c r="C31" i="66"/>
  <c r="O14" i="66"/>
  <c r="N14" i="66"/>
  <c r="M14" i="66"/>
  <c r="L14" i="66"/>
  <c r="K14" i="66"/>
  <c r="J14" i="66"/>
  <c r="I14" i="66"/>
  <c r="H14" i="66"/>
  <c r="G14" i="66"/>
  <c r="F14" i="66"/>
  <c r="E14" i="66"/>
  <c r="D14" i="66"/>
  <c r="C14" i="66"/>
  <c r="D101" i="66" l="1"/>
  <c r="D30" i="66"/>
  <c r="F16" i="5" l="1"/>
  <c r="M13" i="66"/>
  <c r="J13" i="66"/>
  <c r="C13" i="66"/>
  <c r="G13" i="66"/>
  <c r="T14" i="5" l="1"/>
  <c r="S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AH19" i="24" l="1"/>
  <c r="Z19" i="24" l="1"/>
  <c r="E15" i="66" l="1"/>
  <c r="Q15" i="5" l="1"/>
  <c r="K15" i="5" l="1"/>
  <c r="Y21" i="24"/>
  <c r="Z21" i="24" s="1"/>
  <c r="AE19" i="24"/>
  <c r="W19" i="24"/>
  <c r="D16" i="5" l="1"/>
  <c r="C8" i="66"/>
  <c r="F15" i="5"/>
  <c r="O21" i="24"/>
  <c r="V19" i="24"/>
  <c r="U19" i="24"/>
  <c r="AA19" i="24"/>
  <c r="P21" i="24" l="1"/>
  <c r="S19" i="24"/>
  <c r="AG21" i="24" l="1"/>
  <c r="AH21" i="24" s="1"/>
  <c r="K103" i="66"/>
  <c r="J103" i="66"/>
  <c r="I103" i="66"/>
  <c r="F101" i="66"/>
  <c r="E101" i="66"/>
  <c r="F30" i="66"/>
  <c r="E30" i="66"/>
  <c r="O13" i="66"/>
  <c r="N13" i="66"/>
  <c r="L13" i="66"/>
  <c r="K13" i="66"/>
  <c r="H13" i="66"/>
  <c r="AI19" i="24"/>
  <c r="AJ20" i="24" s="1"/>
  <c r="AJ21" i="24" l="1"/>
  <c r="H16" i="5" s="1"/>
  <c r="M32" i="66"/>
  <c r="K32" i="66"/>
  <c r="L32" i="66"/>
  <c r="D15" i="66"/>
  <c r="T19" i="24" l="1"/>
  <c r="X19" i="24"/>
  <c r="Y19" i="24"/>
  <c r="N19" i="24"/>
  <c r="K19" i="24"/>
  <c r="L19" i="24"/>
  <c r="M19" i="24"/>
  <c r="G19" i="24"/>
  <c r="H19" i="24"/>
  <c r="W20" i="24" s="1"/>
  <c r="Y20" i="24" l="1"/>
  <c r="I160" i="66"/>
  <c r="K163" i="66"/>
  <c r="J163" i="66"/>
  <c r="I163" i="66"/>
  <c r="G163" i="66"/>
  <c r="K162" i="66"/>
  <c r="J162" i="66"/>
  <c r="I162" i="66"/>
  <c r="G162" i="66"/>
  <c r="K161" i="66"/>
  <c r="J161" i="66"/>
  <c r="I161" i="66"/>
  <c r="G161" i="66"/>
  <c r="K160" i="66"/>
  <c r="J160" i="66"/>
  <c r="G160" i="66"/>
  <c r="K157" i="66"/>
  <c r="J157" i="66"/>
  <c r="I157" i="66"/>
  <c r="G157" i="66"/>
  <c r="K156" i="66"/>
  <c r="J156" i="66"/>
  <c r="I156" i="66"/>
  <c r="G156" i="66"/>
  <c r="K155" i="66"/>
  <c r="J155" i="66"/>
  <c r="I155" i="66"/>
  <c r="G155" i="66"/>
  <c r="K154" i="66"/>
  <c r="J154" i="66"/>
  <c r="I154" i="66"/>
  <c r="G154" i="66"/>
  <c r="K145" i="66"/>
  <c r="J145" i="66"/>
  <c r="I145" i="66"/>
  <c r="G145" i="66"/>
  <c r="K144" i="66"/>
  <c r="J144" i="66"/>
  <c r="I144" i="66"/>
  <c r="G144" i="66"/>
  <c r="K143" i="66"/>
  <c r="J143" i="66"/>
  <c r="I143" i="66"/>
  <c r="G143" i="66"/>
  <c r="K142" i="66"/>
  <c r="J142" i="66"/>
  <c r="I142" i="66"/>
  <c r="G142" i="66"/>
  <c r="G141" i="66"/>
  <c r="I141" i="66"/>
  <c r="J19" i="66" s="1"/>
  <c r="J141" i="66"/>
  <c r="K19" i="66" s="1"/>
  <c r="K141" i="66"/>
  <c r="L19" i="66" s="1"/>
  <c r="K139" i="66"/>
  <c r="J139" i="66"/>
  <c r="I139" i="66"/>
  <c r="G139" i="66"/>
  <c r="K138" i="66"/>
  <c r="J138" i="66"/>
  <c r="I138" i="66"/>
  <c r="G138" i="66"/>
  <c r="K137" i="66"/>
  <c r="J137" i="66"/>
  <c r="I137" i="66"/>
  <c r="G137" i="66"/>
  <c r="K136" i="66"/>
  <c r="J136" i="66"/>
  <c r="I136" i="66"/>
  <c r="G136" i="66"/>
  <c r="K133" i="66"/>
  <c r="J133" i="66"/>
  <c r="I133" i="66"/>
  <c r="G133" i="66"/>
  <c r="K132" i="66"/>
  <c r="J132" i="66"/>
  <c r="I132" i="66"/>
  <c r="G132" i="66"/>
  <c r="K131" i="66"/>
  <c r="J131" i="66"/>
  <c r="I131" i="66"/>
  <c r="G131" i="66"/>
  <c r="K130" i="66"/>
  <c r="J130" i="66"/>
  <c r="I130" i="66"/>
  <c r="G130" i="66"/>
  <c r="K127" i="66"/>
  <c r="J127" i="66"/>
  <c r="I127" i="66"/>
  <c r="G127" i="66"/>
  <c r="K126" i="66"/>
  <c r="J126" i="66"/>
  <c r="I126" i="66"/>
  <c r="G126" i="66"/>
  <c r="K125" i="66"/>
  <c r="J125" i="66"/>
  <c r="I125" i="66"/>
  <c r="G125" i="66"/>
  <c r="K124" i="66"/>
  <c r="J124" i="66"/>
  <c r="I124" i="66"/>
  <c r="G124" i="66"/>
  <c r="K121" i="66"/>
  <c r="J121" i="66"/>
  <c r="I121" i="66"/>
  <c r="G121" i="66"/>
  <c r="K120" i="66"/>
  <c r="J120" i="66"/>
  <c r="I120" i="66"/>
  <c r="G120" i="66"/>
  <c r="K119" i="66"/>
  <c r="J119" i="66"/>
  <c r="I119" i="66"/>
  <c r="G119" i="66"/>
  <c r="K118" i="66"/>
  <c r="J118" i="66"/>
  <c r="I118" i="66"/>
  <c r="G118" i="66"/>
  <c r="K115" i="66"/>
  <c r="J115" i="66"/>
  <c r="I115" i="66"/>
  <c r="G115" i="66"/>
  <c r="K114" i="66"/>
  <c r="J114" i="66"/>
  <c r="I114" i="66"/>
  <c r="G114" i="66"/>
  <c r="K113" i="66"/>
  <c r="J113" i="66"/>
  <c r="I113" i="66"/>
  <c r="G113" i="66"/>
  <c r="K112" i="66"/>
  <c r="J112" i="66"/>
  <c r="I112" i="66"/>
  <c r="G112" i="66"/>
  <c r="K109" i="66"/>
  <c r="J109" i="66"/>
  <c r="I109" i="66"/>
  <c r="G109" i="66"/>
  <c r="K108" i="66"/>
  <c r="J108" i="66"/>
  <c r="I108" i="66"/>
  <c r="G108" i="66"/>
  <c r="K107" i="66"/>
  <c r="J107" i="66"/>
  <c r="I107" i="66"/>
  <c r="G107" i="66"/>
  <c r="M92" i="66"/>
  <c r="L92" i="66"/>
  <c r="K92" i="66"/>
  <c r="G92" i="66"/>
  <c r="M91" i="66"/>
  <c r="L91" i="66"/>
  <c r="K91" i="66"/>
  <c r="G91" i="66"/>
  <c r="M90" i="66"/>
  <c r="L90" i="66"/>
  <c r="K90" i="66"/>
  <c r="G90" i="66"/>
  <c r="M89" i="66"/>
  <c r="L89" i="66"/>
  <c r="K89" i="66"/>
  <c r="G89" i="66"/>
  <c r="M86" i="66"/>
  <c r="L86" i="66"/>
  <c r="K86" i="66"/>
  <c r="G86" i="66"/>
  <c r="M85" i="66"/>
  <c r="L85" i="66"/>
  <c r="K85" i="66"/>
  <c r="G85" i="66"/>
  <c r="M84" i="66"/>
  <c r="L84" i="66"/>
  <c r="K84" i="66"/>
  <c r="G84" i="66"/>
  <c r="M83" i="66"/>
  <c r="L83" i="66"/>
  <c r="K83" i="66"/>
  <c r="G83" i="66"/>
  <c r="K41" i="66"/>
  <c r="L41" i="66"/>
  <c r="M41" i="66"/>
  <c r="K42" i="66"/>
  <c r="L42" i="66"/>
  <c r="M42" i="66"/>
  <c r="K43" i="66"/>
  <c r="L43" i="66"/>
  <c r="M43" i="66"/>
  <c r="K44" i="66"/>
  <c r="L44" i="66"/>
  <c r="M44" i="66"/>
  <c r="G41" i="66"/>
  <c r="G42" i="66"/>
  <c r="G43" i="66"/>
  <c r="G44" i="66"/>
  <c r="A3" i="66"/>
  <c r="A4" i="66"/>
  <c r="A2" i="66"/>
  <c r="L157" i="66" l="1"/>
  <c r="L161" i="66"/>
  <c r="L143" i="66"/>
  <c r="L162" i="66"/>
  <c r="L163" i="66"/>
  <c r="L155" i="66"/>
  <c r="L156" i="66"/>
  <c r="L160" i="66"/>
  <c r="L154" i="66"/>
  <c r="L133" i="66"/>
  <c r="L112" i="66"/>
  <c r="L136" i="66"/>
  <c r="L145" i="66"/>
  <c r="L144" i="66"/>
  <c r="L126" i="66"/>
  <c r="L139" i="66"/>
  <c r="L142" i="66"/>
  <c r="L141" i="66"/>
  <c r="L121" i="66"/>
  <c r="L137" i="66"/>
  <c r="L138" i="66"/>
  <c r="L124" i="66"/>
  <c r="L130" i="66"/>
  <c r="L125" i="66"/>
  <c r="L131" i="66"/>
  <c r="L115" i="66"/>
  <c r="L127" i="66"/>
  <c r="L119" i="66"/>
  <c r="L120" i="66"/>
  <c r="L132" i="66"/>
  <c r="L118" i="66"/>
  <c r="L113" i="66"/>
  <c r="N86" i="66"/>
  <c r="L108" i="66"/>
  <c r="L114" i="66"/>
  <c r="N92" i="66"/>
  <c r="L107" i="66"/>
  <c r="N42" i="66"/>
  <c r="N41" i="66"/>
  <c r="N83" i="66"/>
  <c r="L109" i="66"/>
  <c r="N90" i="66"/>
  <c r="N89" i="66"/>
  <c r="N91" i="66"/>
  <c r="N44" i="66"/>
  <c r="N85" i="66"/>
  <c r="N84" i="66"/>
  <c r="N43" i="66"/>
  <c r="G159" i="66" l="1"/>
  <c r="G153" i="66"/>
  <c r="G151" i="66"/>
  <c r="G150" i="66"/>
  <c r="G149" i="66"/>
  <c r="G148" i="66"/>
  <c r="G147" i="66"/>
  <c r="G135" i="66"/>
  <c r="G129" i="66"/>
  <c r="G123" i="66"/>
  <c r="G117" i="66"/>
  <c r="G111" i="66"/>
  <c r="G106" i="66"/>
  <c r="G105" i="66"/>
  <c r="G88" i="66"/>
  <c r="G82" i="66"/>
  <c r="G80" i="66"/>
  <c r="G79" i="66"/>
  <c r="G78" i="66"/>
  <c r="G77" i="66"/>
  <c r="G76" i="66"/>
  <c r="G74" i="66"/>
  <c r="G73" i="66"/>
  <c r="G72" i="66"/>
  <c r="G71" i="66"/>
  <c r="G70" i="66"/>
  <c r="G68" i="66"/>
  <c r="G67" i="66"/>
  <c r="G66" i="66"/>
  <c r="G65" i="66"/>
  <c r="G64" i="66"/>
  <c r="G62" i="66"/>
  <c r="G61" i="66"/>
  <c r="G60" i="66"/>
  <c r="G59" i="66"/>
  <c r="G58" i="66"/>
  <c r="G56" i="66"/>
  <c r="G55" i="66"/>
  <c r="G54" i="66"/>
  <c r="G53" i="66"/>
  <c r="G52" i="66"/>
  <c r="G50" i="66"/>
  <c r="G49" i="66"/>
  <c r="G48" i="66"/>
  <c r="G47" i="66"/>
  <c r="G46" i="66"/>
  <c r="G40" i="66"/>
  <c r="G38" i="66"/>
  <c r="G37" i="66"/>
  <c r="G36" i="66"/>
  <c r="G35" i="66"/>
  <c r="G34" i="66"/>
  <c r="K159" i="66"/>
  <c r="J159" i="66"/>
  <c r="I159" i="66"/>
  <c r="K153" i="66"/>
  <c r="L21" i="66" s="1"/>
  <c r="J153" i="66"/>
  <c r="K21" i="66" s="1"/>
  <c r="I153" i="66"/>
  <c r="J21" i="66" s="1"/>
  <c r="K151" i="66"/>
  <c r="J151" i="66"/>
  <c r="I151" i="66"/>
  <c r="K150" i="66"/>
  <c r="J150" i="66"/>
  <c r="I150" i="66"/>
  <c r="K149" i="66"/>
  <c r="J149" i="66"/>
  <c r="I149" i="66"/>
  <c r="K148" i="66"/>
  <c r="J148" i="66"/>
  <c r="I148" i="66"/>
  <c r="K147" i="66"/>
  <c r="J147" i="66"/>
  <c r="I147" i="66"/>
  <c r="K135" i="66"/>
  <c r="J135" i="66"/>
  <c r="I135" i="66"/>
  <c r="K129" i="66"/>
  <c r="L17" i="66" s="1"/>
  <c r="J129" i="66"/>
  <c r="K17" i="66" s="1"/>
  <c r="I129" i="66"/>
  <c r="J17" i="66" s="1"/>
  <c r="K123" i="66"/>
  <c r="J123" i="66"/>
  <c r="I123" i="66"/>
  <c r="K117" i="66"/>
  <c r="J117" i="66"/>
  <c r="I117" i="66"/>
  <c r="K111" i="66"/>
  <c r="J111" i="66"/>
  <c r="I111" i="66"/>
  <c r="K106" i="66"/>
  <c r="J106" i="66"/>
  <c r="I106" i="66"/>
  <c r="K105" i="66"/>
  <c r="J105" i="66"/>
  <c r="K16" i="66" s="1"/>
  <c r="I105" i="66"/>
  <c r="J16" i="66" s="1"/>
  <c r="M88" i="66"/>
  <c r="L88" i="66"/>
  <c r="K88" i="66"/>
  <c r="M82" i="66"/>
  <c r="L82" i="66"/>
  <c r="H21" i="66" s="1"/>
  <c r="K82" i="66"/>
  <c r="G21" i="66" s="1"/>
  <c r="M80" i="66"/>
  <c r="L80" i="66"/>
  <c r="K80" i="66"/>
  <c r="M79" i="66"/>
  <c r="L79" i="66"/>
  <c r="K79" i="66"/>
  <c r="M78" i="66"/>
  <c r="L78" i="66"/>
  <c r="K78" i="66"/>
  <c r="M77" i="66"/>
  <c r="L77" i="66"/>
  <c r="K77" i="66"/>
  <c r="M76" i="66"/>
  <c r="L76" i="66"/>
  <c r="K76" i="66"/>
  <c r="M74" i="66"/>
  <c r="L74" i="66"/>
  <c r="K74" i="66"/>
  <c r="M73" i="66"/>
  <c r="L73" i="66"/>
  <c r="K73" i="66"/>
  <c r="M72" i="66"/>
  <c r="L72" i="66"/>
  <c r="K72" i="66"/>
  <c r="M71" i="66"/>
  <c r="L71" i="66"/>
  <c r="K71" i="66"/>
  <c r="M70" i="66"/>
  <c r="L70" i="66"/>
  <c r="K70" i="66"/>
  <c r="M68" i="66"/>
  <c r="L68" i="66"/>
  <c r="K68" i="66"/>
  <c r="M67" i="66"/>
  <c r="L67" i="66"/>
  <c r="K67" i="66"/>
  <c r="M66" i="66"/>
  <c r="L66" i="66"/>
  <c r="K66" i="66"/>
  <c r="M65" i="66"/>
  <c r="L65" i="66"/>
  <c r="K65" i="66"/>
  <c r="M64" i="66"/>
  <c r="L64" i="66"/>
  <c r="K64" i="66"/>
  <c r="M62" i="66"/>
  <c r="L62" i="66"/>
  <c r="K62" i="66"/>
  <c r="M61" i="66"/>
  <c r="L61" i="66"/>
  <c r="K61" i="66"/>
  <c r="M60" i="66"/>
  <c r="L60" i="66"/>
  <c r="K60" i="66"/>
  <c r="M59" i="66"/>
  <c r="L59" i="66"/>
  <c r="K59" i="66"/>
  <c r="M58" i="66"/>
  <c r="L58" i="66"/>
  <c r="K58" i="66"/>
  <c r="M56" i="66"/>
  <c r="L56" i="66"/>
  <c r="K56" i="66"/>
  <c r="M55" i="66"/>
  <c r="L55" i="66"/>
  <c r="K55" i="66"/>
  <c r="M54" i="66"/>
  <c r="L54" i="66"/>
  <c r="K54" i="66"/>
  <c r="M53" i="66"/>
  <c r="L53" i="66"/>
  <c r="K53" i="66"/>
  <c r="M52" i="66"/>
  <c r="L52" i="66"/>
  <c r="K52" i="66"/>
  <c r="M50" i="66"/>
  <c r="L50" i="66"/>
  <c r="K50" i="66"/>
  <c r="M49" i="66"/>
  <c r="L49" i="66"/>
  <c r="K49" i="66"/>
  <c r="M48" i="66"/>
  <c r="L48" i="66"/>
  <c r="K48" i="66"/>
  <c r="M47" i="66"/>
  <c r="L47" i="66"/>
  <c r="K47" i="66"/>
  <c r="M46" i="66"/>
  <c r="L46" i="66"/>
  <c r="K46" i="66"/>
  <c r="M40" i="66"/>
  <c r="L40" i="66"/>
  <c r="K40" i="66"/>
  <c r="M38" i="66"/>
  <c r="L38" i="66"/>
  <c r="K38" i="66"/>
  <c r="M37" i="66"/>
  <c r="L37" i="66"/>
  <c r="K37" i="66"/>
  <c r="M36" i="66"/>
  <c r="L36" i="66"/>
  <c r="K36" i="66"/>
  <c r="M35" i="66"/>
  <c r="L35" i="66"/>
  <c r="K35" i="66"/>
  <c r="M34" i="66"/>
  <c r="L34" i="66"/>
  <c r="K34" i="66"/>
  <c r="L16" i="66" l="1"/>
  <c r="J20" i="66"/>
  <c r="J22" i="66" s="1"/>
  <c r="J18" i="66"/>
  <c r="K20" i="66"/>
  <c r="K22" i="66" s="1"/>
  <c r="K18" i="66"/>
  <c r="L20" i="66"/>
  <c r="L22" i="66" s="1"/>
  <c r="L18" i="66"/>
  <c r="N82" i="66"/>
  <c r="N59" i="66"/>
  <c r="G16" i="66"/>
  <c r="L135" i="66"/>
  <c r="N78" i="66"/>
  <c r="L105" i="66"/>
  <c r="G19" i="66"/>
  <c r="H19" i="66"/>
  <c r="H16" i="66"/>
  <c r="I21" i="66"/>
  <c r="N54" i="66"/>
  <c r="N73" i="66"/>
  <c r="N74" i="66"/>
  <c r="I17" i="66"/>
  <c r="N55" i="66"/>
  <c r="N62" i="66"/>
  <c r="N72" i="66"/>
  <c r="I19" i="66"/>
  <c r="N46" i="66"/>
  <c r="H20" i="66"/>
  <c r="N64" i="66"/>
  <c r="H17" i="66"/>
  <c r="G20" i="66"/>
  <c r="N49" i="66"/>
  <c r="N77" i="66"/>
  <c r="N48" i="66"/>
  <c r="G17" i="66"/>
  <c r="N65" i="66"/>
  <c r="N50" i="66"/>
  <c r="N60" i="66"/>
  <c r="L129" i="66"/>
  <c r="I18" i="66"/>
  <c r="I16" i="66"/>
  <c r="N66" i="66"/>
  <c r="N79" i="66"/>
  <c r="I20" i="66"/>
  <c r="N61" i="66"/>
  <c r="N80" i="66"/>
  <c r="L147" i="66"/>
  <c r="N68" i="66"/>
  <c r="L148" i="66"/>
  <c r="N37" i="66"/>
  <c r="L106" i="66"/>
  <c r="L149" i="66"/>
  <c r="N53" i="66"/>
  <c r="N71" i="66"/>
  <c r="N70" i="66"/>
  <c r="N38" i="66"/>
  <c r="L111" i="66"/>
  <c r="L150" i="66"/>
  <c r="N52" i="66"/>
  <c r="N67" i="66"/>
  <c r="N40" i="66"/>
  <c r="L117" i="66"/>
  <c r="L151" i="66"/>
  <c r="G18" i="66"/>
  <c r="N88" i="66"/>
  <c r="N35" i="66"/>
  <c r="N47" i="66"/>
  <c r="L153" i="66"/>
  <c r="N76" i="66"/>
  <c r="L123" i="66"/>
  <c r="L159" i="66"/>
  <c r="H18" i="66"/>
  <c r="N36" i="66"/>
  <c r="N56" i="66"/>
  <c r="N58" i="66"/>
  <c r="N34" i="66"/>
  <c r="I22" i="66" l="1"/>
  <c r="H22" i="66"/>
  <c r="G22" i="66"/>
  <c r="G16" i="5" s="1"/>
  <c r="I16" i="5" s="1"/>
  <c r="K16" i="5" s="1"/>
  <c r="Q16" i="5" s="1"/>
  <c r="AC19" i="24" l="1"/>
  <c r="AB19" i="24"/>
  <c r="C10" i="66" l="1"/>
  <c r="G15" i="5" l="1"/>
  <c r="A1" i="24" l="1"/>
  <c r="M19" i="66" l="1"/>
  <c r="L103" i="66"/>
  <c r="M21" i="66"/>
  <c r="O21" i="66"/>
  <c r="M20" i="66"/>
  <c r="O19" i="66"/>
  <c r="O18" i="66" l="1"/>
  <c r="O17" i="66"/>
  <c r="O16" i="66"/>
  <c r="M18" i="66"/>
  <c r="M17" i="66"/>
  <c r="M16" i="66"/>
  <c r="O20" i="66"/>
  <c r="N32" i="66"/>
  <c r="O15" i="66"/>
  <c r="M22" i="66" l="1"/>
  <c r="M15" i="66"/>
  <c r="N15" i="66"/>
  <c r="G32" i="66" l="1"/>
  <c r="F15" i="66"/>
  <c r="G103" i="66"/>
  <c r="N21" i="66" l="1"/>
  <c r="D21" i="66" l="1"/>
  <c r="N17" i="66"/>
  <c r="N18" i="66"/>
  <c r="N19" i="66"/>
  <c r="N20" i="66"/>
  <c r="N16" i="66"/>
  <c r="D18" i="66" l="1"/>
  <c r="D16" i="66"/>
  <c r="D17" i="66"/>
  <c r="D20" i="66"/>
  <c r="D19" i="66"/>
  <c r="N22" i="66"/>
  <c r="O22" i="66"/>
  <c r="D22" i="66" l="1"/>
  <c r="A4" i="5" l="1"/>
  <c r="A3" i="5"/>
  <c r="A2" i="5"/>
  <c r="A1" i="5"/>
  <c r="AJ19" i="24"/>
  <c r="H15" i="5" s="1"/>
  <c r="AG19" i="24"/>
  <c r="AF19" i="24"/>
  <c r="AG20" i="24" s="1"/>
  <c r="AD19" i="24"/>
  <c r="R19" i="24"/>
  <c r="Q19" i="24"/>
  <c r="P19" i="24"/>
  <c r="O19" i="24"/>
  <c r="J19" i="24"/>
  <c r="I19" i="24"/>
  <c r="F19" i="24"/>
  <c r="E19" i="24"/>
  <c r="Z20" i="24" l="1"/>
  <c r="AI20" i="24"/>
  <c r="AH20" i="24"/>
  <c r="P20" i="24"/>
  <c r="I15" i="5"/>
  <c r="O20" i="24"/>
  <c r="Q20" i="24"/>
  <c r="C9" i="66" l="1"/>
  <c r="E17" i="66" l="1"/>
  <c r="F17" i="66" s="1"/>
  <c r="E16" i="66"/>
  <c r="F16" i="66" s="1"/>
  <c r="E21" i="66"/>
  <c r="F21" i="66" s="1"/>
  <c r="E18" i="66"/>
  <c r="F18" i="66" s="1"/>
  <c r="E20" i="66"/>
  <c r="F20" i="66" s="1"/>
  <c r="E19" i="66"/>
  <c r="F19" i="66" s="1"/>
  <c r="E22" i="66"/>
  <c r="F22" i="66" s="1"/>
</calcChain>
</file>

<file path=xl/sharedStrings.xml><?xml version="1.0" encoding="utf-8"?>
<sst xmlns="http://schemas.openxmlformats.org/spreadsheetml/2006/main" count="321" uniqueCount="194">
  <si>
    <t>Use Instructions</t>
  </si>
  <si>
    <t xml:space="preserve">This BDS TRP is for carriers that establish PCIs, APIs, SBIs, and upper SBI limits at the study area level.  </t>
  </si>
  <si>
    <t xml:space="preserve">The holding company BDS TRP is for carriers that establish a PCI, API, SBIs, and upper SBI limits at the holding company level.  </t>
  </si>
  <si>
    <t>Current entries are illustrative.  Use actual data and modify spacing as needed.</t>
  </si>
  <si>
    <t>Rates from three different time periods are required to complete the TRP.  In the relevant cells, enter:</t>
  </si>
  <si>
    <t xml:space="preserve"> - rates at the last PCI update,</t>
  </si>
  <si>
    <t xml:space="preserve"> - current rates, </t>
  </si>
  <si>
    <t xml:space="preserve"> - proposed rates.</t>
  </si>
  <si>
    <t xml:space="preserve">If a carrier has not changed any rate since the last PCI update, then rates at the last PCI update and current rates will be equal.  </t>
  </si>
  <si>
    <t>Exogenous Costs</t>
  </si>
  <si>
    <t>Factor Dev(elopment)</t>
  </si>
  <si>
    <t>Study Area TRP</t>
  </si>
  <si>
    <t xml:space="preserve">Filing Entity:  </t>
  </si>
  <si>
    <t xml:space="preserve">Transmittal Number:  </t>
  </si>
  <si>
    <t>Factor</t>
  </si>
  <si>
    <t>Existing Factor Value</t>
  </si>
  <si>
    <t>Source FCC Order</t>
  </si>
  <si>
    <t>Reg Fee Factor:</t>
  </si>
  <si>
    <t>NANPA Factor:</t>
  </si>
  <si>
    <t>Other CTS TRS Factor:</t>
  </si>
  <si>
    <t>IP-CTS TRS Factor:</t>
  </si>
  <si>
    <t>Holding Company ID</t>
  </si>
  <si>
    <t>Holding Company Name</t>
  </si>
  <si>
    <t>Study Area ID</t>
  </si>
  <si>
    <t>Study Area Name</t>
  </si>
  <si>
    <t>End User Interstate Surcharge for State or Federal Universal Service Contributions
Line 403d</t>
  </si>
  <si>
    <t>End User Interstate Local Private Line and Business Data Services 
("Special Access")
Line 406d</t>
  </si>
  <si>
    <t>End User International Calls Originating and Terminating at Foreign Ports
Line 412a*</t>
  </si>
  <si>
    <t>End User Total Gross Revenues 
Line 420a</t>
  </si>
  <si>
    <t>End User Interstate Gross Revenues
Line 420d</t>
  </si>
  <si>
    <t>End User International Revenues in Gross USC Base
Line 420e</t>
  </si>
  <si>
    <t>TRS IP CTS Contribution Base Revenues 
Line 514a</t>
  </si>
  <si>
    <t>TRS Other Contribution Base Revenues
Line 514b</t>
  </si>
  <si>
    <t xml:space="preserve">Reg Fee Base Revenue Exclusions
Input from form 159-W Line 13
Or
The sum of form 499-A
Line 409d + Line 409e + Line 410d + Line 410e + Line 416d + Line 416e + Line 511b + (Surcharges on mobile and satellite services identified as recovering universal service contributions and included in Line 403d or 403e). 
Round to the nearest dollar. </t>
  </si>
  <si>
    <t>End User Interstate Surcharge Factor</t>
  </si>
  <si>
    <t>End User Total Special Access Revenues Including Interstate Surcharge</t>
  </si>
  <si>
    <t>End User Total Special Access Portion of End User Interstate Gross Revenues on FCC Form 499A</t>
  </si>
  <si>
    <t>Reg Fee</t>
  </si>
  <si>
    <t>NANPA</t>
  </si>
  <si>
    <t>IP TRS Fee</t>
  </si>
  <si>
    <t>Other TRS Fee</t>
  </si>
  <si>
    <t>Incremental Exogenous Costs for BDS Services
(Z)</t>
  </si>
  <si>
    <t>Input</t>
  </si>
  <si>
    <t>NA</t>
  </si>
  <si>
    <t>999901</t>
  </si>
  <si>
    <t>*Line 412a is equivalent to Line 412e on form 499-A</t>
  </si>
  <si>
    <t>Source</t>
  </si>
  <si>
    <t>Productivity Factor 
(X Factor)</t>
  </si>
  <si>
    <t>Percent Change in GDP-PI
(GDP-PI)</t>
  </si>
  <si>
    <t>Ratio of the Sum of Annual Revenues Plus Exogenous Cost Changes to Annual Revenues 
(w)</t>
  </si>
  <si>
    <t>Study Area Current PCI</t>
  </si>
  <si>
    <t>Study Area Proposed PCI</t>
  </si>
  <si>
    <t>Date of Last PCI Update</t>
  </si>
  <si>
    <t>Date of Current Rate</t>
  </si>
  <si>
    <t>Date of Proposed Rate</t>
  </si>
  <si>
    <t>Study Area Code:</t>
  </si>
  <si>
    <t>Study Area Name:</t>
  </si>
  <si>
    <t>Study Area Proposed PCI:</t>
  </si>
  <si>
    <t>Study Area Current PCI:</t>
  </si>
  <si>
    <t>Study Area Dashboard</t>
  </si>
  <si>
    <t>Annual Recurring Revenue</t>
  </si>
  <si>
    <t>Annual Non-recurring Revenue</t>
  </si>
  <si>
    <t>Total Annual Revenue</t>
  </si>
  <si>
    <t>Service Band</t>
  </si>
  <si>
    <t>Proposed SBI
 or
Proposed API</t>
  </si>
  <si>
    <t xml:space="preserve">Proposed SBI Upper Limit 
or 
Proposed PCI </t>
  </si>
  <si>
    <t>Pass if Proposed SBI Less Than or Equal to SBI Limit, or if Proposed API Less Than or Equal To Proposed PCI</t>
  </si>
  <si>
    <t>Line No.</t>
  </si>
  <si>
    <t>Sum of Recurring Charges at Rates at Last PCI Update x 12</t>
  </si>
  <si>
    <t>Sum of Recurring Charges at Current Rates x 12</t>
  </si>
  <si>
    <t>Sum of Recurring Charges at Proposed  Rates x 12</t>
  </si>
  <si>
    <t>Sum of Non-recurring Charges at Rates at Last PCI Update</t>
  </si>
  <si>
    <t>Sum of Non-recurring Charges at Current Rates</t>
  </si>
  <si>
    <t>Sum of Non-recurring Charges at Proposed  Rates</t>
  </si>
  <si>
    <t>Voice Grade, WATS, Metallic and Telegraph Special Access Services</t>
  </si>
  <si>
    <t>Audio and Video Services</t>
  </si>
  <si>
    <t xml:space="preserve">    DS1</t>
  </si>
  <si>
    <t xml:space="preserve">    DS3</t>
  </si>
  <si>
    <t>High Capacity (DS1 and DS3) + DDS</t>
  </si>
  <si>
    <t>Wideband Data and Wideband Analog Services</t>
  </si>
  <si>
    <t>Total (Lines 1, 2, 5, 6 and Miscellaneous Charges)</t>
  </si>
  <si>
    <t>Recurring Charges</t>
  </si>
  <si>
    <t>Average Monthly Revenue</t>
  </si>
  <si>
    <t>Tariff Reference</t>
  </si>
  <si>
    <t>Tariff Rate Element</t>
  </si>
  <si>
    <t>Service 
Category</t>
  </si>
  <si>
    <t>Percent Rate Change
from Current Rate to Proposed Rate</t>
  </si>
  <si>
    <t>At Last PCI Update</t>
  </si>
  <si>
    <t>At Current Rate</t>
  </si>
  <si>
    <t>At Proposed Rate</t>
  </si>
  <si>
    <t xml:space="preserve">Difference Proposed - Current </t>
  </si>
  <si>
    <t>** VOICE GRADE SPECIAL ACCESS SVCS **</t>
  </si>
  <si>
    <t>VG</t>
  </si>
  <si>
    <t>Example</t>
  </si>
  <si>
    <t>Example Voice Grade Special Access Svc</t>
  </si>
  <si>
    <t>** WATS SPECIAL ACCESS SVCS**</t>
  </si>
  <si>
    <t>WATS</t>
  </si>
  <si>
    <t>Example WATS Special Access Svc</t>
  </si>
  <si>
    <t>** METALLIC SPECIAL ACCESS SVCS**</t>
  </si>
  <si>
    <t>METAL</t>
  </si>
  <si>
    <t>Example Metallic Special Access Svc</t>
  </si>
  <si>
    <t>** TELEGRAPH SPECIAL ACCESS SVCS **</t>
  </si>
  <si>
    <t>TGR</t>
  </si>
  <si>
    <t>Example Telegraph Special Access Svc</t>
  </si>
  <si>
    <t>** AUDIO AND VIDEO SERVICES **</t>
  </si>
  <si>
    <t>AV</t>
  </si>
  <si>
    <t>Example Audio and Video Services</t>
  </si>
  <si>
    <t>** DS1 SPECIAL ACCESS SERVICES **</t>
  </si>
  <si>
    <t>DS1</t>
  </si>
  <si>
    <t>Example DS1 Special Access Services</t>
  </si>
  <si>
    <t>** DS3 SPECIAL ACCESS SERVICES **</t>
  </si>
  <si>
    <t>DS3</t>
  </si>
  <si>
    <t>Example DS3 Special Access Services</t>
  </si>
  <si>
    <t>** DDS Services **</t>
  </si>
  <si>
    <t>DDS</t>
  </si>
  <si>
    <t>Example DDS Services</t>
  </si>
  <si>
    <t>** WIDEBAND DATA AND WIDEBAND ANALOG SVCS **</t>
  </si>
  <si>
    <t>WIDE</t>
  </si>
  <si>
    <t>Example Wideband Data and Wideband Analog Services</t>
  </si>
  <si>
    <t>** MISCELLANEOUS CHARGES **
(Access ordering, additional labor, etc.)</t>
  </si>
  <si>
    <t>MISC</t>
  </si>
  <si>
    <t>Example Miscellaneous Charges</t>
  </si>
  <si>
    <t>Non-recurring Charges</t>
  </si>
  <si>
    <t>Annual Revenues</t>
  </si>
  <si>
    <t>Difference Proposed - Current</t>
  </si>
  <si>
    <t>Example Voice Grade Special Access Svcs</t>
  </si>
  <si>
    <t>Example WATS Special Access Svcs</t>
  </si>
  <si>
    <t>Example Metallic Special Access Svcs</t>
  </si>
  <si>
    <t>Example Telegraph Special Access Svcs</t>
  </si>
  <si>
    <t>Example Wideband Data and Wideband Analog Svcs</t>
  </si>
  <si>
    <t>End User Revenues from Resellers Not Contributing to USC
Line 511a</t>
  </si>
  <si>
    <t xml:space="preserve">** If the percentage of BDS revenues in column 14 equals 0, inputs to columns 1 through 13 are not required.  </t>
  </si>
  <si>
    <t>Input
(Enter 1 from the drop down if study area is required to pay Reg Fees, enter 0 if exempt)</t>
  </si>
  <si>
    <t>BDS EC 1</t>
  </si>
  <si>
    <t>FCC 61.45(b)(1)(iv)</t>
  </si>
  <si>
    <t>Total TRS Fee</t>
  </si>
  <si>
    <t>Study Area PCI at Last Annual BDS Filing</t>
  </si>
  <si>
    <t>TRS Gross Up Removal Factor</t>
  </si>
  <si>
    <t>TRS Gross Up Amount from Mid-Course Filing</t>
  </si>
  <si>
    <t>Contribution Factors Embedded in Current Rates</t>
  </si>
  <si>
    <t>Study Area Proposed PCI Prior to Removing Gross Up</t>
  </si>
  <si>
    <t>Input PCI from last BDS Filing</t>
  </si>
  <si>
    <t>Input
(Last date that current rates will be effective)</t>
  </si>
  <si>
    <t>Input
(Date that new rates will become effective)</t>
  </si>
  <si>
    <t xml:space="preserve">BDS Portion of Gross Up Increment for TRS </t>
  </si>
  <si>
    <t>Total BDS Revenue Under Incentive Regulation from Mid-Course Filing</t>
  </si>
  <si>
    <t>Dates</t>
  </si>
  <si>
    <t>Study Area 1 Input</t>
  </si>
  <si>
    <t>Study Area 2 Input</t>
  </si>
  <si>
    <t>Study Area 3 Input</t>
  </si>
  <si>
    <t>Holding Company TRP</t>
  </si>
  <si>
    <t>TRS, NANPA and regulatory fees for each study area.</t>
  </si>
  <si>
    <t>Enter data in cells marked 'Input'.  Output fields yield values based on formulas and input data.  Enter average monthly demand for monthly recurring rate elements</t>
  </si>
  <si>
    <t>over the entire base period and annual demand for non-recurring rate elements for the base period in the study area worksheet to calculate the revenues used in the</t>
  </si>
  <si>
    <t>price cap formulas.  The worksheet multiplies monthly revenues derived from monthly recurring rates and average monthly demand by 12 to obtain annual revenues.</t>
  </si>
  <si>
    <t>The term discount plan in the study area worksheet is an example.  If your discount plan has other term lengths and/or discounts, revise the relevant column headings</t>
  </si>
  <si>
    <t>to reflect these other term lenghts, and revise the relevant formulas to reflect these other discounts to calculate the revenues for these plans.</t>
  </si>
  <si>
    <t>This file Includes the following tabs:</t>
  </si>
  <si>
    <t xml:space="preserve">Filing Date:  </t>
  </si>
  <si>
    <t>gross-up amount calculated at the last PCI update is a required input for this TRP.  The gross-up amount reflected in the existing rates must be removed</t>
  </si>
  <si>
    <t>in this filing via the TRS gross-up removal factor calculated in column P of the Factor Dev tab.  Enter the required data in columns M, N and O to calculate</t>
  </si>
  <si>
    <t>Sum 2022 Exog Costs</t>
  </si>
  <si>
    <t>GDP-PI Q4 2021</t>
  </si>
  <si>
    <t>July 1, 2022</t>
  </si>
  <si>
    <t>Enter data from 2023 FCC Form 499-A and 2023 FCC Form 159-W if available, in the relevant cells in the Exogenous Costs tab to calculate the exogenous cost adjustment for</t>
  </si>
  <si>
    <t>Select the date of the last PCI update from the drop down list in column L of the Factor Dev tab.  If your last PCI update was October 1, 2022, the TRS</t>
  </si>
  <si>
    <t>the factor.  If your last PCI update was July 1, 2022, data entry in columns M, N and O is not required and the factor will default to 1.</t>
  </si>
  <si>
    <t xml:space="preserve">2023 Contribution Factors, if published, otherwise use contribution factors embedded in current rates </t>
  </si>
  <si>
    <t>Input from 2023 FCC Form 499A</t>
  </si>
  <si>
    <t xml:space="preserve">Input from 2023 FCC Form 159-W 
(If FCC Form 159-W is unavailable, calculate using lines from 2023 FCC Form 499-A and input the result below) </t>
  </si>
  <si>
    <t>Exogenous Costs Using 2022 Contribution Factors - BDS Non Competitive Services</t>
  </si>
  <si>
    <t>Exogenous Costs Using 2023 Contribution Factors (if available) - BDS Non Competitive Services</t>
  </si>
  <si>
    <t>End User Revenues from BDS Ex Ante Rate Elements / End User Total Special Access Revenues (including DSL and ETS) from 2022**</t>
  </si>
  <si>
    <t>Was your study area required to pay Regulatory Fees in 2022?</t>
  </si>
  <si>
    <t xml:space="preserve">BDS Portion of 2022 Exogenous Costs </t>
  </si>
  <si>
    <t>Is your study area required to pay Regulatory Fees in 2023?</t>
  </si>
  <si>
    <t>Sum 2023 Exog Costs</t>
  </si>
  <si>
    <t>BDS Porion of 2023 Exogenous Costs</t>
  </si>
  <si>
    <t>Sum of Study Area 2022 Annual Recurring and Non-Recurring Revenues at Last PCI Update (from Study Area Tab)
(R)</t>
  </si>
  <si>
    <t>June 30, 2023</t>
  </si>
  <si>
    <t>July 1, 2023</t>
  </si>
  <si>
    <t>October 1, 2022</t>
  </si>
  <si>
    <t>Input
(Select July 1, 2022 or October 1, 2022 from the drop down menu)</t>
  </si>
  <si>
    <t>Average Monthly Demand Over Base Period (Calendar Year 2022)</t>
  </si>
  <si>
    <t>EXAMPLE TERM DISCOUNT PLAN
Average Monthly Demand Over Base Period (Calendar Year 2022) In a 
5-YR Term Plan Demand
(20% Discount)</t>
  </si>
  <si>
    <t>EXAMPLE TERM DISCOUNT PLAN
Average Monthly Demand Over Base Period (Calendar Year 2022) In a 
3-YR Term Plan Demand
(10% Discount)</t>
  </si>
  <si>
    <t>Cumulative Demand Over Base Period (Calendar Year 2022)</t>
  </si>
  <si>
    <t>Table 1.1.4. Price Index for Gross Domestic Product as of 3/25/22.</t>
  </si>
  <si>
    <t>GDP-PI Q4 2022</t>
  </si>
  <si>
    <t>Table 1.1.4. Price Index for Gross Domestic Product as of 3/31/23.</t>
  </si>
  <si>
    <t>https://apps.bea.gov/iTable/?reqid=19&amp;step=2&amp;isuri=1&amp;categories=survey</t>
  </si>
  <si>
    <t>Input
Total BDS Revenue (R) from BDS mid-course filing or "NA" if last BDS filing was effective July 1, 2022)</t>
  </si>
  <si>
    <t>Input amount from BDS mid-course filing or "NA" if last BDS filing was effective July 1, 2022)</t>
  </si>
  <si>
    <t>Input
proposed PCI from BDS annual filing or "NA" if last BDS filing was effective July 1,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</si>
</sst>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/dd/yy;@"/>
    <numFmt numFmtId="166" formatCode="&quot;$&quot;#,##0.00"/>
    <numFmt numFmtId="167" formatCode="#,##0.0"/>
    <numFmt numFmtId="168" formatCode="0.00000"/>
    <numFmt numFmtId="169" formatCode="0.000"/>
    <numFmt numFmtId="170" formatCode="0.0000000"/>
    <numFmt numFmtId="171" formatCode="0.0000"/>
    <numFmt numFmtId="172" formatCode="0.000000"/>
    <numFmt numFmtId="173" formatCode="0.000000%"/>
    <numFmt numFmtId="174" formatCode="0.0000%"/>
    <numFmt numFmtId="175" formatCode="#,##0.000000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9" fontId="18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288">
    <xf numFmtId="0" fontId="0" fillId="0" borderId="0" xfId="0"/>
    <xf numFmtId="0" fontId="8" fillId="0" borderId="0" xfId="0" applyFont="1"/>
    <xf numFmtId="0" fontId="4" fillId="0" borderId="2" xfId="0" applyFont="1" applyBorder="1" applyAlignment="1">
      <alignment horizontal="center" wrapText="1"/>
    </xf>
    <xf numFmtId="0" fontId="9" fillId="0" borderId="0" xfId="0" applyFont="1"/>
    <xf numFmtId="0" fontId="4" fillId="0" borderId="3" xfId="0" applyFont="1" applyBorder="1" applyAlignment="1">
      <alignment horizontal="center" wrapText="1"/>
    </xf>
    <xf numFmtId="0" fontId="5" fillId="0" borderId="0" xfId="0" applyFont="1"/>
    <xf numFmtId="0" fontId="1" fillId="0" borderId="0" xfId="8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6" fillId="0" borderId="0" xfId="0" applyNumberFormat="1" applyFont="1" applyAlignment="1">
      <alignment horizontal="right"/>
    </xf>
    <xf numFmtId="3" fontId="6" fillId="0" borderId="0" xfId="0" applyNumberFormat="1" applyFont="1"/>
    <xf numFmtId="1" fontId="6" fillId="0" borderId="0" xfId="0" applyNumberFormat="1" applyFont="1"/>
    <xf numFmtId="168" fontId="12" fillId="0" borderId="0" xfId="1" applyNumberFormat="1" applyFont="1" applyFill="1" applyBorder="1" applyAlignment="1">
      <alignment horizontal="left"/>
    </xf>
    <xf numFmtId="0" fontId="11" fillId="0" borderId="0" xfId="0" applyFont="1"/>
    <xf numFmtId="171" fontId="6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10" fillId="0" borderId="0" xfId="8" applyFont="1" applyAlignment="1">
      <alignment horizontal="center"/>
    </xf>
    <xf numFmtId="0" fontId="14" fillId="0" borderId="0" xfId="0" applyFont="1" applyAlignment="1">
      <alignment horizontal="center"/>
    </xf>
    <xf numFmtId="171" fontId="4" fillId="0" borderId="0" xfId="1" applyNumberFormat="1" applyFont="1" applyFill="1" applyBorder="1" applyAlignment="1">
      <alignment horizontal="right" indent="1"/>
    </xf>
    <xf numFmtId="171" fontId="7" fillId="0" borderId="0" xfId="1" applyNumberFormat="1" applyFont="1" applyFill="1" applyBorder="1" applyAlignment="1">
      <alignment horizontal="right" indent="1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right" indent="1"/>
    </xf>
    <xf numFmtId="0" fontId="15" fillId="0" borderId="0" xfId="0" applyFont="1" applyAlignment="1">
      <alignment vertical="center"/>
    </xf>
    <xf numFmtId="167" fontId="13" fillId="0" borderId="0" xfId="0" applyNumberFormat="1" applyFont="1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166" fontId="12" fillId="0" borderId="1" xfId="0" applyNumberFormat="1" applyFont="1" applyBorder="1" applyAlignment="1">
      <alignment horizontal="center" wrapText="1"/>
    </xf>
    <xf numFmtId="166" fontId="12" fillId="0" borderId="1" xfId="0" quotePrefix="1" applyNumberFormat="1" applyFont="1" applyBorder="1" applyAlignment="1">
      <alignment horizontal="center" wrapText="1"/>
    </xf>
    <xf numFmtId="168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right" wrapText="1"/>
    </xf>
    <xf numFmtId="166" fontId="17" fillId="0" borderId="1" xfId="0" applyNumberFormat="1" applyFont="1" applyBorder="1" applyAlignment="1">
      <alignment horizontal="right" wrapText="1"/>
    </xf>
    <xf numFmtId="164" fontId="17" fillId="0" borderId="1" xfId="1" applyNumberFormat="1" applyFont="1" applyFill="1" applyBorder="1" applyAlignment="1">
      <alignment horizontal="right" wrapText="1"/>
    </xf>
    <xf numFmtId="166" fontId="6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6" fontId="17" fillId="0" borderId="0" xfId="0" applyNumberFormat="1" applyFont="1" applyAlignment="1">
      <alignment horizontal="right"/>
    </xf>
    <xf numFmtId="10" fontId="17" fillId="0" borderId="0" xfId="0" applyNumberFormat="1" applyFont="1" applyAlignment="1">
      <alignment horizontal="right"/>
    </xf>
    <xf numFmtId="3" fontId="6" fillId="0" borderId="0" xfId="0" applyNumberFormat="1" applyFont="1" applyProtection="1">
      <protection locked="0"/>
    </xf>
    <xf numFmtId="1" fontId="7" fillId="0" borderId="1" xfId="0" applyNumberFormat="1" applyFont="1" applyBorder="1" applyAlignment="1">
      <alignment horizontal="center" wrapText="1"/>
    </xf>
    <xf numFmtId="9" fontId="7" fillId="0" borderId="1" xfId="0" applyNumberFormat="1" applyFont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Border="1"/>
    <xf numFmtId="0" fontId="4" fillId="0" borderId="0" xfId="0" applyFont="1"/>
    <xf numFmtId="169" fontId="0" fillId="0" borderId="0" xfId="0" quotePrefix="1" applyNumberFormat="1"/>
    <xf numFmtId="173" fontId="0" fillId="0" borderId="0" xfId="1" applyNumberFormat="1" applyFont="1"/>
    <xf numFmtId="0" fontId="7" fillId="0" borderId="4" xfId="8" applyFont="1" applyBorder="1"/>
    <xf numFmtId="0" fontId="7" fillId="0" borderId="0" xfId="8" applyFont="1" applyAlignment="1">
      <alignment vertical="top" wrapText="1"/>
    </xf>
    <xf numFmtId="168" fontId="6" fillId="0" borderId="0" xfId="1" applyNumberFormat="1" applyFont="1" applyFill="1" applyBorder="1" applyAlignment="1">
      <alignment horizontal="left"/>
    </xf>
    <xf numFmtId="167" fontId="6" fillId="0" borderId="0" xfId="0" applyNumberFormat="1" applyFont="1"/>
    <xf numFmtId="0" fontId="4" fillId="0" borderId="6" xfId="0" applyFont="1" applyBorder="1" applyAlignment="1">
      <alignment horizontal="center" wrapText="1"/>
    </xf>
    <xf numFmtId="171" fontId="0" fillId="0" borderId="1" xfId="1" applyNumberFormat="1" applyFont="1" applyFill="1" applyBorder="1" applyAlignment="1">
      <alignment horizontal="right" indent="1"/>
    </xf>
    <xf numFmtId="166" fontId="0" fillId="0" borderId="14" xfId="0" applyNumberFormat="1" applyBorder="1" applyAlignment="1">
      <alignment horizontal="right" wrapText="1"/>
    </xf>
    <xf numFmtId="2" fontId="17" fillId="0" borderId="1" xfId="0" applyNumberFormat="1" applyFont="1" applyBorder="1" applyAlignment="1">
      <alignment horizontal="right" wrapText="1"/>
    </xf>
    <xf numFmtId="0" fontId="6" fillId="0" borderId="0" xfId="0" quotePrefix="1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8" applyFo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166" fontId="16" fillId="0" borderId="0" xfId="0" applyNumberFormat="1" applyFont="1"/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0" fillId="0" borderId="0" xfId="0" quotePrefix="1" applyFont="1"/>
    <xf numFmtId="0" fontId="13" fillId="0" borderId="0" xfId="0" quotePrefix="1" applyFont="1"/>
    <xf numFmtId="166" fontId="0" fillId="0" borderId="20" xfId="0" applyNumberFormat="1" applyBorder="1" applyAlignment="1">
      <alignment horizontal="right" wrapText="1"/>
    </xf>
    <xf numFmtId="166" fontId="0" fillId="0" borderId="14" xfId="0" applyNumberFormat="1" applyBorder="1" applyAlignment="1">
      <alignment horizontal="right"/>
    </xf>
    <xf numFmtId="171" fontId="0" fillId="0" borderId="0" xfId="0" applyNumberFormat="1" applyAlignment="1">
      <alignment horizontal="left"/>
    </xf>
    <xf numFmtId="0" fontId="0" fillId="0" borderId="0" xfId="0" quotePrefix="1"/>
    <xf numFmtId="0" fontId="7" fillId="0" borderId="0" xfId="0" applyFont="1" applyAlignment="1">
      <alignment horizontal="right" indent="1"/>
    </xf>
    <xf numFmtId="0" fontId="20" fillId="0" borderId="0" xfId="0" applyFont="1"/>
    <xf numFmtId="0" fontId="13" fillId="0" borderId="0" xfId="0" applyFont="1" applyAlignment="1">
      <alignment wrapText="1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7" fillId="0" borderId="3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32" xfId="8" applyFont="1" applyBorder="1" applyAlignment="1">
      <alignment horizontal="center" wrapText="1"/>
    </xf>
    <xf numFmtId="0" fontId="7" fillId="0" borderId="0" xfId="8" applyFont="1" applyAlignment="1">
      <alignment horizontal="center" vertical="center" wrapText="1"/>
    </xf>
    <xf numFmtId="0" fontId="7" fillId="0" borderId="0" xfId="8" applyFont="1" applyAlignment="1">
      <alignment horizontal="center" wrapText="1"/>
    </xf>
    <xf numFmtId="0" fontId="7" fillId="0" borderId="0" xfId="8" applyFont="1"/>
    <xf numFmtId="166" fontId="12" fillId="0" borderId="0" xfId="0" applyNumberFormat="1" applyFont="1" applyAlignment="1">
      <alignment horizontal="center" wrapText="1"/>
    </xf>
    <xf numFmtId="0" fontId="22" fillId="0" borderId="0" xfId="8" applyFont="1"/>
    <xf numFmtId="0" fontId="24" fillId="0" borderId="3" xfId="0" applyFont="1" applyBorder="1" applyAlignment="1">
      <alignment horizontal="center" wrapText="1"/>
    </xf>
    <xf numFmtId="0" fontId="25" fillId="0" borderId="0" xfId="0" applyFont="1"/>
    <xf numFmtId="0" fontId="7" fillId="0" borderId="1" xfId="0" quotePrefix="1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172" fontId="0" fillId="0" borderId="13" xfId="0" applyNumberFormat="1" applyBorder="1" applyAlignment="1">
      <alignment horizontal="right" wrapText="1"/>
    </xf>
    <xf numFmtId="172" fontId="0" fillId="0" borderId="20" xfId="0" applyNumberFormat="1" applyBorder="1" applyAlignment="1">
      <alignment horizontal="right" wrapText="1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 wrapText="1"/>
    </xf>
    <xf numFmtId="0" fontId="4" fillId="0" borderId="0" xfId="0" quotePrefix="1" applyFont="1"/>
    <xf numFmtId="166" fontId="11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0" fontId="4" fillId="0" borderId="3" xfId="0" quotePrefix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3" fontId="0" fillId="0" borderId="13" xfId="0" applyNumberFormat="1" applyBorder="1" applyAlignment="1">
      <alignment horizontal="right"/>
    </xf>
    <xf numFmtId="166" fontId="4" fillId="0" borderId="1" xfId="0" applyNumberFormat="1" applyFont="1" applyBorder="1" applyAlignment="1">
      <alignment horizontal="center" wrapText="1"/>
    </xf>
    <xf numFmtId="166" fontId="0" fillId="0" borderId="53" xfId="0" applyNumberFormat="1" applyBorder="1" applyAlignment="1">
      <alignment horizontal="right" wrapText="1"/>
    </xf>
    <xf numFmtId="166" fontId="0" fillId="0" borderId="0" xfId="0" applyNumberFormat="1" applyAlignment="1">
      <alignment horizontal="right" wrapText="1"/>
    </xf>
    <xf numFmtId="0" fontId="4" fillId="0" borderId="50" xfId="0" applyFont="1" applyBorder="1" applyAlignment="1">
      <alignment horizontal="center" wrapText="1"/>
    </xf>
    <xf numFmtId="0" fontId="4" fillId="0" borderId="5" xfId="0" quotePrefix="1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4" fillId="2" borderId="54" xfId="0" applyFont="1" applyFill="1" applyBorder="1" applyAlignment="1">
      <alignment horizontal="center" wrapText="1"/>
    </xf>
    <xf numFmtId="0" fontId="7" fillId="2" borderId="34" xfId="0" applyFont="1" applyFill="1" applyBorder="1" applyAlignment="1">
      <alignment horizontal="center" wrapText="1"/>
    </xf>
    <xf numFmtId="0" fontId="4" fillId="0" borderId="0" xfId="0" quotePrefix="1" applyFont="1" applyAlignment="1">
      <alignment vertical="center" wrapText="1"/>
    </xf>
    <xf numFmtId="0" fontId="4" fillId="0" borderId="2" xfId="0" quotePrefix="1" applyFont="1" applyBorder="1" applyAlignment="1">
      <alignment horizontal="center" wrapText="1"/>
    </xf>
    <xf numFmtId="0" fontId="4" fillId="0" borderId="4" xfId="0" quotePrefix="1" applyFont="1" applyBorder="1" applyAlignment="1">
      <alignment horizontal="center" wrapText="1"/>
    </xf>
    <xf numFmtId="166" fontId="0" fillId="0" borderId="13" xfId="0" applyNumberFormat="1" applyBorder="1" applyAlignment="1">
      <alignment horizontal="right" wrapText="1"/>
    </xf>
    <xf numFmtId="0" fontId="4" fillId="0" borderId="47" xfId="0" applyFont="1" applyBorder="1" applyAlignment="1">
      <alignment horizontal="center" wrapText="1"/>
    </xf>
    <xf numFmtId="0" fontId="4" fillId="0" borderId="47" xfId="0" quotePrefix="1" applyFont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7" fillId="0" borderId="0" xfId="0" applyFont="1"/>
    <xf numFmtId="171" fontId="6" fillId="2" borderId="54" xfId="0" applyNumberFormat="1" applyFont="1" applyFill="1" applyBorder="1" applyAlignment="1">
      <alignment horizontal="right" wrapText="1"/>
    </xf>
    <xf numFmtId="0" fontId="4" fillId="0" borderId="49" xfId="0" quotePrefix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71" fontId="6" fillId="0" borderId="0" xfId="0" quotePrefix="1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27" fillId="0" borderId="0" xfId="0" applyFont="1"/>
    <xf numFmtId="0" fontId="7" fillId="0" borderId="0" xfId="0" quotePrefix="1" applyFont="1" applyAlignment="1">
      <alignment horizontal="center" wrapText="1"/>
    </xf>
    <xf numFmtId="166" fontId="0" fillId="0" borderId="20" xfId="0" applyNumberFormat="1" applyBorder="1" applyAlignment="1">
      <alignment horizontal="right"/>
    </xf>
    <xf numFmtId="174" fontId="6" fillId="0" borderId="39" xfId="1" applyNumberFormat="1" applyFont="1" applyFill="1" applyBorder="1" applyAlignment="1">
      <alignment horizontal="right"/>
    </xf>
    <xf numFmtId="174" fontId="6" fillId="0" borderId="40" xfId="1" applyNumberFormat="1" applyFont="1" applyFill="1" applyBorder="1" applyAlignment="1">
      <alignment horizontal="right" wrapText="1"/>
    </xf>
    <xf numFmtId="166" fontId="0" fillId="0" borderId="40" xfId="0" applyNumberFormat="1" applyBorder="1" applyAlignment="1">
      <alignment horizontal="right"/>
    </xf>
    <xf numFmtId="171" fontId="0" fillId="0" borderId="41" xfId="0" quotePrefix="1" applyNumberFormat="1" applyBorder="1" applyAlignment="1">
      <alignment horizontal="right" wrapText="1"/>
    </xf>
    <xf numFmtId="171" fontId="0" fillId="0" borderId="39" xfId="0" applyNumberFormat="1" applyBorder="1" applyAlignment="1">
      <alignment horizontal="right" wrapText="1"/>
    </xf>
    <xf numFmtId="171" fontId="6" fillId="0" borderId="40" xfId="0" quotePrefix="1" applyNumberFormat="1" applyFont="1" applyBorder="1" applyAlignment="1">
      <alignment horizontal="right" wrapText="1"/>
    </xf>
    <xf numFmtId="172" fontId="6" fillId="0" borderId="41" xfId="0" applyNumberFormat="1" applyFont="1" applyBorder="1" applyAlignment="1">
      <alignment horizontal="right" wrapText="1"/>
    </xf>
    <xf numFmtId="0" fontId="5" fillId="0" borderId="10" xfId="0" applyFont="1" applyBorder="1"/>
    <xf numFmtId="0" fontId="0" fillId="0" borderId="15" xfId="0" applyBorder="1"/>
    <xf numFmtId="0" fontId="0" fillId="0" borderId="25" xfId="0" applyBorder="1"/>
    <xf numFmtId="0" fontId="5" fillId="0" borderId="11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/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0" xfId="0" quotePrefix="1" applyBorder="1"/>
    <xf numFmtId="0" fontId="0" fillId="0" borderId="41" xfId="0" applyBorder="1" applyAlignment="1">
      <alignment horizontal="left"/>
    </xf>
    <xf numFmtId="0" fontId="0" fillId="0" borderId="40" xfId="0" quotePrefix="1" applyBorder="1" applyAlignment="1">
      <alignment horizontal="right"/>
    </xf>
    <xf numFmtId="0" fontId="4" fillId="0" borderId="0" xfId="0" applyFont="1" applyAlignment="1">
      <alignment horizontal="right" indent="1"/>
    </xf>
    <xf numFmtId="0" fontId="23" fillId="0" borderId="0" xfId="0" applyFont="1"/>
    <xf numFmtId="0" fontId="11" fillId="0" borderId="0" xfId="0" applyFont="1" applyAlignment="1">
      <alignment wrapText="1"/>
    </xf>
    <xf numFmtId="0" fontId="7" fillId="0" borderId="2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37" xfId="0" applyFont="1" applyBorder="1" applyAlignment="1">
      <alignment horizontal="center"/>
    </xf>
    <xf numFmtId="0" fontId="0" fillId="0" borderId="4" xfId="0" applyBorder="1"/>
    <xf numFmtId="166" fontId="0" fillId="0" borderId="19" xfId="0" applyNumberForma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5" xfId="0" applyNumberFormat="1" applyBorder="1" applyAlignment="1">
      <alignment horizontal="right" indent="1"/>
    </xf>
    <xf numFmtId="0" fontId="0" fillId="0" borderId="4" xfId="0" applyBorder="1" applyAlignment="1">
      <alignment wrapText="1"/>
    </xf>
    <xf numFmtId="0" fontId="7" fillId="0" borderId="38" xfId="0" applyFont="1" applyBorder="1" applyAlignment="1">
      <alignment horizontal="center"/>
    </xf>
    <xf numFmtId="0" fontId="4" fillId="0" borderId="13" xfId="0" applyFont="1" applyBorder="1"/>
    <xf numFmtId="171" fontId="4" fillId="0" borderId="14" xfId="1" applyNumberFormat="1" applyFont="1" applyFill="1" applyBorder="1" applyAlignment="1">
      <alignment horizontal="right" indent="1"/>
    </xf>
    <xf numFmtId="0" fontId="4" fillId="0" borderId="20" xfId="0" applyFont="1" applyBorder="1" applyAlignment="1">
      <alignment horizontal="center"/>
    </xf>
    <xf numFmtId="166" fontId="4" fillId="0" borderId="18" xfId="0" applyNumberFormat="1" applyFont="1" applyBorder="1" applyAlignment="1">
      <alignment horizontal="right" indent="1"/>
    </xf>
    <xf numFmtId="166" fontId="4" fillId="0" borderId="14" xfId="0" applyNumberFormat="1" applyFont="1" applyBorder="1" applyAlignment="1">
      <alignment horizontal="right" indent="1"/>
    </xf>
    <xf numFmtId="166" fontId="4" fillId="0" borderId="20" xfId="0" applyNumberFormat="1" applyFont="1" applyBorder="1" applyAlignment="1">
      <alignment horizontal="right" indent="1"/>
    </xf>
    <xf numFmtId="166" fontId="4" fillId="0" borderId="13" xfId="0" applyNumberFormat="1" applyFont="1" applyBorder="1" applyAlignment="1">
      <alignment horizontal="right" indent="1"/>
    </xf>
    <xf numFmtId="0" fontId="10" fillId="0" borderId="0" xfId="0" applyFont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66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4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4" fillId="0" borderId="52" xfId="0" quotePrefix="1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quotePrefix="1" applyBorder="1"/>
    <xf numFmtId="0" fontId="0" fillId="0" borderId="20" xfId="0" applyBorder="1" applyAlignment="1">
      <alignment horizontal="left"/>
    </xf>
    <xf numFmtId="166" fontId="0" fillId="0" borderId="13" xfId="0" applyNumberFormat="1" applyBorder="1" applyAlignment="1">
      <alignment horizontal="right"/>
    </xf>
    <xf numFmtId="166" fontId="0" fillId="0" borderId="17" xfId="0" applyNumberFormat="1" applyBorder="1" applyAlignment="1">
      <alignment horizontal="right"/>
    </xf>
    <xf numFmtId="175" fontId="0" fillId="0" borderId="17" xfId="0" applyNumberFormat="1" applyBorder="1" applyAlignment="1">
      <alignment horizontal="right"/>
    </xf>
    <xf numFmtId="0" fontId="17" fillId="0" borderId="0" xfId="0" quotePrefix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wrapText="1"/>
    </xf>
    <xf numFmtId="0" fontId="7" fillId="0" borderId="13" xfId="8" applyFont="1" applyBorder="1"/>
    <xf numFmtId="0" fontId="0" fillId="0" borderId="39" xfId="0" quotePrefix="1" applyBorder="1" applyAlignment="1">
      <alignment horizontal="right"/>
    </xf>
    <xf numFmtId="0" fontId="0" fillId="0" borderId="41" xfId="0" quotePrefix="1" applyBorder="1" applyAlignment="1">
      <alignment horizontal="right"/>
    </xf>
    <xf numFmtId="172" fontId="7" fillId="0" borderId="1" xfId="8" applyNumberFormat="1" applyFont="1" applyBorder="1" applyAlignment="1">
      <alignment vertical="top"/>
    </xf>
    <xf numFmtId="0" fontId="7" fillId="0" borderId="5" xfId="8" applyFont="1" applyBorder="1"/>
    <xf numFmtId="170" fontId="7" fillId="0" borderId="1" xfId="8" applyNumberFormat="1" applyFont="1" applyBorder="1"/>
    <xf numFmtId="172" fontId="7" fillId="0" borderId="14" xfId="8" applyNumberFormat="1" applyFont="1" applyBorder="1" applyAlignment="1">
      <alignment vertical="top"/>
    </xf>
    <xf numFmtId="0" fontId="7" fillId="0" borderId="20" xfId="8" applyFont="1" applyBorder="1"/>
    <xf numFmtId="0" fontId="7" fillId="0" borderId="27" xfId="8" applyFont="1" applyBorder="1" applyAlignment="1">
      <alignment horizontal="center" wrapText="1"/>
    </xf>
    <xf numFmtId="0" fontId="4" fillId="0" borderId="6" xfId="0" quotePrefix="1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4" fillId="0" borderId="11" xfId="0" applyFont="1" applyBorder="1" applyAlignment="1">
      <alignment horizontal="right" indent="1"/>
    </xf>
    <xf numFmtId="169" fontId="7" fillId="0" borderId="0" xfId="0" applyNumberFormat="1" applyFont="1" applyAlignment="1">
      <alignment horizontal="left"/>
    </xf>
    <xf numFmtId="0" fontId="11" fillId="0" borderId="7" xfId="0" applyFont="1" applyBorder="1"/>
    <xf numFmtId="0" fontId="4" fillId="0" borderId="12" xfId="0" applyFont="1" applyBorder="1" applyAlignment="1">
      <alignment horizontal="right" indent="1"/>
    </xf>
    <xf numFmtId="169" fontId="7" fillId="0" borderId="8" xfId="0" applyNumberFormat="1" applyFont="1" applyBorder="1" applyAlignment="1">
      <alignment horizontal="left"/>
    </xf>
    <xf numFmtId="0" fontId="0" fillId="0" borderId="8" xfId="0" quotePrefix="1" applyBorder="1"/>
    <xf numFmtId="0" fontId="11" fillId="0" borderId="8" xfId="0" applyFont="1" applyBorder="1"/>
    <xf numFmtId="0" fontId="11" fillId="0" borderId="9" xfId="0" quotePrefix="1" applyFont="1" applyBorder="1"/>
    <xf numFmtId="0" fontId="4" fillId="0" borderId="45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2" xfId="8" applyFont="1" applyBorder="1" applyAlignment="1">
      <alignment horizontal="center" vertical="center" wrapText="1"/>
    </xf>
    <xf numFmtId="0" fontId="7" fillId="0" borderId="43" xfId="8" applyFont="1" applyBorder="1" applyAlignment="1">
      <alignment horizontal="center" vertical="center" wrapText="1"/>
    </xf>
    <xf numFmtId="0" fontId="7" fillId="0" borderId="44" xfId="8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7" fillId="0" borderId="26" xfId="8" applyFont="1" applyBorder="1" applyAlignment="1">
      <alignment horizontal="center" vertical="center"/>
    </xf>
    <xf numFmtId="0" fontId="7" fillId="0" borderId="27" xfId="8" applyFont="1" applyBorder="1" applyAlignment="1">
      <alignment horizontal="center" vertical="center"/>
    </xf>
    <xf numFmtId="0" fontId="7" fillId="0" borderId="28" xfId="8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166" fontId="16" fillId="0" borderId="23" xfId="0" applyNumberFormat="1" applyFont="1" applyBorder="1" applyAlignment="1">
      <alignment horizontal="center"/>
    </xf>
    <xf numFmtId="166" fontId="16" fillId="0" borderId="22" xfId="0" applyNumberFormat="1" applyFont="1" applyBorder="1" applyAlignment="1">
      <alignment horizontal="center"/>
    </xf>
    <xf numFmtId="166" fontId="16" fillId="0" borderId="2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3" borderId="47" xfId="0" quotePrefix="1" applyFont="1" applyFill="1" applyBorder="1" applyAlignment="1">
      <alignment horizontal="center" wrapText="1"/>
    </xf>
    <xf numFmtId="166" fontId="0" fillId="3" borderId="40" xfId="0" applyNumberFormat="1" applyFill="1" applyBorder="1" applyAlignment="1">
      <alignment horizontal="right"/>
    </xf>
    <xf numFmtId="171" fontId="0" fillId="3" borderId="40" xfId="0" quotePrefix="1" applyNumberFormat="1" applyFill="1" applyBorder="1" applyAlignment="1">
      <alignment horizontal="right" wrapText="1"/>
    </xf>
    <xf numFmtId="0" fontId="7" fillId="3" borderId="47" xfId="0" applyFont="1" applyFill="1" applyBorder="1" applyAlignment="1">
      <alignment horizontal="center" wrapText="1"/>
    </xf>
    <xf numFmtId="166" fontId="0" fillId="3" borderId="40" xfId="0" applyNumberFormat="1" applyFill="1" applyBorder="1" applyAlignment="1">
      <alignment horizontal="right" wrapText="1"/>
    </xf>
    <xf numFmtId="172" fontId="0" fillId="3" borderId="40" xfId="0" applyNumberFormat="1" applyFill="1" applyBorder="1" applyAlignment="1">
      <alignment horizontal="right" wrapText="1"/>
    </xf>
  </cellXfs>
  <cellStyles count="9">
    <cellStyle name="Comma 2" xfId="4" xr:uid="{00000000-0005-0000-0000-000008000000}"/>
    <cellStyle name="Comma 5" xfId="3" xr:uid="{00000000-0005-0000-0000-000007000000}"/>
    <cellStyle name="Currency 2" xfId="6" xr:uid="{00000000-0005-0000-0000-00000A000000}"/>
    <cellStyle name="Normal" xfId="0" builtinId="0"/>
    <cellStyle name="Normal 2" xfId="2" xr:uid="{00000000-0005-0000-0000-000006000000}"/>
    <cellStyle name="Normal 3" xfId="7" xr:uid="{00000000-0005-0000-0000-00000B000000}"/>
    <cellStyle name="Normal_CBTC prelim AN11" xfId="8" xr:uid="{00000000-0005-0000-0000-00000C000000}"/>
    <cellStyle name="Percent" xfId="1" builtinId="5"/>
    <cellStyle name="Percent 2" xfId="5" xr:uid="{00000000-0005-0000-0000-000009000000}"/>
  </cellStyles>
  <dxfs count="6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F2E021-A8CD-47B5-B927-6CBEE32B86A1}" name="Table1" displayName="Table1" ref="A1:A3" totalsRowShown="0">
  <autoFilter ref="A1:A3" xr:uid="{6B6BA320-BC07-4615-9F56-9B6153B2347E}"/>
  <tableColumns count="1">
    <tableColumn id="1" xr3:uid="{5A6989E0-44E4-46D2-BD55-D955C9CEEA44}" name="Da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4"/>
  <sheetViews>
    <sheetView zoomScaleNormal="100" workbookViewId="0"/>
  </sheetViews>
  <sheetFormatPr defaultColWidth="8.81640625" defaultRowHeight="14.5" x14ac:dyDescent="0.35"/>
  <cols>
    <col min="1" max="1" width="157.1796875" customWidth="1"/>
  </cols>
  <sheetData>
    <row r="1" spans="1:8" x14ac:dyDescent="0.35">
      <c r="A1" s="60" t="s">
        <v>0</v>
      </c>
    </row>
    <row r="2" spans="1:8" x14ac:dyDescent="0.35">
      <c r="A2" s="60"/>
    </row>
    <row r="3" spans="1:8" ht="14.5" customHeight="1" x14ac:dyDescent="0.35">
      <c r="A3" s="61" t="s">
        <v>1</v>
      </c>
      <c r="B3" s="61"/>
      <c r="C3" s="61"/>
      <c r="D3" s="61"/>
      <c r="E3" s="61"/>
      <c r="F3" s="61"/>
      <c r="G3" s="61"/>
      <c r="H3" s="61"/>
    </row>
    <row r="4" spans="1:8" ht="14.5" customHeight="1" x14ac:dyDescent="0.35">
      <c r="A4" s="61" t="s">
        <v>2</v>
      </c>
      <c r="B4" s="61"/>
      <c r="C4" s="61"/>
      <c r="D4" s="61"/>
      <c r="E4" s="61"/>
      <c r="F4" s="61"/>
      <c r="G4" s="61"/>
      <c r="H4" s="61"/>
    </row>
    <row r="5" spans="1:8" ht="14.5" customHeight="1" x14ac:dyDescent="0.35">
      <c r="A5" s="61"/>
      <c r="B5" s="61"/>
      <c r="C5" s="61"/>
      <c r="D5" s="61"/>
      <c r="E5" s="61"/>
      <c r="F5" s="61"/>
      <c r="G5" s="61"/>
      <c r="H5" s="61"/>
    </row>
    <row r="6" spans="1:8" ht="14.5" customHeight="1" x14ac:dyDescent="0.35">
      <c r="A6" s="60" t="s">
        <v>3</v>
      </c>
      <c r="B6" s="61"/>
      <c r="C6" s="61"/>
      <c r="D6" s="61"/>
      <c r="E6" s="61"/>
      <c r="F6" s="61"/>
      <c r="G6" s="61"/>
      <c r="H6" s="61"/>
    </row>
    <row r="7" spans="1:8" ht="14.5" customHeight="1" x14ac:dyDescent="0.35">
      <c r="A7" s="61"/>
      <c r="B7" s="61"/>
      <c r="C7" s="61"/>
      <c r="D7" s="61"/>
      <c r="E7" s="61"/>
      <c r="F7" s="61"/>
      <c r="G7" s="61"/>
      <c r="H7" s="61"/>
    </row>
    <row r="8" spans="1:8" ht="14.5" customHeight="1" x14ac:dyDescent="0.35">
      <c r="A8" s="61" t="s">
        <v>164</v>
      </c>
      <c r="B8" s="61"/>
      <c r="C8" s="61"/>
      <c r="D8" s="61"/>
      <c r="E8" s="61"/>
      <c r="F8" s="61"/>
      <c r="G8" s="61"/>
      <c r="H8" s="61"/>
    </row>
    <row r="9" spans="1:8" ht="14.5" customHeight="1" x14ac:dyDescent="0.35">
      <c r="A9" s="61" t="s">
        <v>151</v>
      </c>
      <c r="B9" s="61"/>
      <c r="C9" s="61"/>
      <c r="D9" s="61"/>
      <c r="E9" s="61"/>
      <c r="F9" s="61"/>
      <c r="G9" s="61"/>
      <c r="H9" s="61"/>
    </row>
    <row r="10" spans="1:8" ht="14.5" customHeight="1" x14ac:dyDescent="0.35">
      <c r="A10" s="61"/>
      <c r="B10" s="61"/>
      <c r="C10" s="61"/>
      <c r="D10" s="61"/>
      <c r="E10" s="61"/>
      <c r="F10" s="61"/>
      <c r="G10" s="61"/>
      <c r="H10" s="61"/>
    </row>
    <row r="11" spans="1:8" ht="14.5" customHeight="1" x14ac:dyDescent="0.35">
      <c r="A11" s="61" t="s">
        <v>152</v>
      </c>
      <c r="B11" s="61"/>
      <c r="C11" s="61"/>
      <c r="D11" s="61"/>
      <c r="E11" s="61"/>
      <c r="F11" s="61"/>
      <c r="G11" s="61"/>
      <c r="H11" s="61"/>
    </row>
    <row r="12" spans="1:8" ht="14.5" customHeight="1" x14ac:dyDescent="0.35">
      <c r="A12" s="61" t="s">
        <v>153</v>
      </c>
      <c r="B12" s="61"/>
      <c r="C12" s="61"/>
      <c r="D12" s="61"/>
      <c r="E12" s="61"/>
      <c r="F12" s="61"/>
      <c r="G12" s="61"/>
      <c r="H12" s="61"/>
    </row>
    <row r="13" spans="1:8" ht="14.5" customHeight="1" x14ac:dyDescent="0.35">
      <c r="A13" s="61" t="s">
        <v>154</v>
      </c>
      <c r="B13" s="61"/>
      <c r="C13" s="61"/>
      <c r="D13" s="61"/>
      <c r="E13" s="61"/>
      <c r="F13" s="61"/>
      <c r="G13" s="61"/>
      <c r="H13" s="61"/>
    </row>
    <row r="14" spans="1:8" ht="14.5" customHeight="1" x14ac:dyDescent="0.35">
      <c r="A14" s="61"/>
      <c r="B14" s="61"/>
      <c r="C14" s="61"/>
      <c r="D14" s="61"/>
      <c r="E14" s="61"/>
      <c r="F14" s="61"/>
      <c r="G14" s="61"/>
      <c r="H14" s="61"/>
    </row>
    <row r="15" spans="1:8" ht="14.5" customHeight="1" x14ac:dyDescent="0.35">
      <c r="A15" s="61" t="s">
        <v>155</v>
      </c>
      <c r="B15" s="61"/>
      <c r="C15" s="61"/>
      <c r="D15" s="61"/>
      <c r="E15" s="61"/>
      <c r="F15" s="61"/>
      <c r="G15" s="61"/>
      <c r="H15" s="61"/>
    </row>
    <row r="16" spans="1:8" ht="14.5" customHeight="1" x14ac:dyDescent="0.35">
      <c r="A16" s="61" t="s">
        <v>156</v>
      </c>
      <c r="B16" s="61"/>
      <c r="C16" s="61"/>
      <c r="D16" s="61"/>
      <c r="E16" s="61"/>
      <c r="F16" s="61"/>
      <c r="G16" s="61"/>
      <c r="H16" s="61"/>
    </row>
    <row r="17" spans="1:9" ht="14.5" customHeight="1" x14ac:dyDescent="0.35">
      <c r="A17" s="61"/>
      <c r="B17" s="61"/>
      <c r="C17" s="61"/>
      <c r="D17" s="61"/>
      <c r="E17" s="61"/>
      <c r="F17" s="61"/>
      <c r="G17" s="61"/>
      <c r="H17" s="61"/>
    </row>
    <row r="18" spans="1:9" ht="14.5" customHeight="1" x14ac:dyDescent="0.35">
      <c r="A18" s="61" t="s">
        <v>4</v>
      </c>
      <c r="B18" s="61"/>
      <c r="C18" s="61"/>
      <c r="D18" s="61"/>
      <c r="E18" s="61"/>
      <c r="F18" s="61"/>
      <c r="G18" s="61"/>
      <c r="H18" s="61"/>
    </row>
    <row r="19" spans="1:9" ht="14.5" customHeight="1" x14ac:dyDescent="0.35">
      <c r="A19" s="213" t="s">
        <v>5</v>
      </c>
      <c r="B19" s="61"/>
      <c r="C19" s="61"/>
      <c r="D19" s="61"/>
      <c r="E19" s="61"/>
      <c r="F19" s="61"/>
      <c r="G19" s="61"/>
      <c r="H19" s="61"/>
    </row>
    <row r="20" spans="1:9" ht="14.5" customHeight="1" x14ac:dyDescent="0.35">
      <c r="A20" s="213" t="s">
        <v>6</v>
      </c>
      <c r="C20" s="61"/>
      <c r="D20" s="61"/>
      <c r="E20" s="61"/>
      <c r="F20" s="61"/>
      <c r="G20" s="61"/>
      <c r="H20" s="61"/>
    </row>
    <row r="21" spans="1:9" ht="14.5" customHeight="1" x14ac:dyDescent="0.35">
      <c r="A21" s="213" t="s">
        <v>7</v>
      </c>
      <c r="B21" s="61"/>
      <c r="C21" s="61"/>
      <c r="D21" s="61"/>
      <c r="E21" s="61"/>
      <c r="F21" s="61"/>
      <c r="G21" s="61"/>
      <c r="H21" s="61"/>
    </row>
    <row r="22" spans="1:9" ht="14.5" customHeight="1" x14ac:dyDescent="0.35">
      <c r="A22" s="61" t="s">
        <v>8</v>
      </c>
      <c r="B22" s="61"/>
      <c r="C22" s="61"/>
      <c r="D22" s="61"/>
      <c r="E22" s="61"/>
      <c r="F22" s="61"/>
      <c r="G22" s="61"/>
      <c r="H22" s="61"/>
    </row>
    <row r="23" spans="1:9" ht="14.5" customHeight="1" x14ac:dyDescent="0.35">
      <c r="A23" s="61"/>
      <c r="B23" s="61"/>
      <c r="C23" s="61"/>
      <c r="D23" s="61"/>
      <c r="E23" s="61"/>
      <c r="F23" s="61"/>
      <c r="G23" s="61"/>
      <c r="H23" s="61"/>
    </row>
    <row r="24" spans="1:9" ht="14.5" customHeight="1" x14ac:dyDescent="0.35">
      <c r="A24" s="61" t="s">
        <v>165</v>
      </c>
      <c r="B24" s="61"/>
      <c r="C24" s="61"/>
      <c r="D24" s="61"/>
      <c r="E24" s="61"/>
      <c r="F24" s="61"/>
      <c r="G24" s="61"/>
      <c r="H24" s="61"/>
    </row>
    <row r="25" spans="1:9" ht="14.5" customHeight="1" x14ac:dyDescent="0.35">
      <c r="A25" s="61" t="s">
        <v>159</v>
      </c>
      <c r="B25" s="61"/>
      <c r="C25" s="61"/>
      <c r="D25" s="61"/>
      <c r="E25" s="61"/>
      <c r="F25" s="61"/>
      <c r="G25" s="61"/>
      <c r="H25" s="61"/>
      <c r="I25" s="61"/>
    </row>
    <row r="26" spans="1:9" ht="15.75" customHeight="1" x14ac:dyDescent="0.35">
      <c r="A26" s="61" t="s">
        <v>160</v>
      </c>
      <c r="B26" s="61"/>
      <c r="C26" s="61"/>
      <c r="D26" s="61"/>
      <c r="E26" s="61"/>
      <c r="F26" s="61"/>
      <c r="G26" s="61"/>
      <c r="H26" s="61"/>
      <c r="I26" s="61"/>
    </row>
    <row r="27" spans="1:9" ht="14.5" customHeight="1" x14ac:dyDescent="0.35">
      <c r="A27" s="61" t="s">
        <v>166</v>
      </c>
      <c r="B27" s="61"/>
      <c r="C27" s="61"/>
      <c r="D27" s="61"/>
      <c r="E27" s="61"/>
      <c r="F27" s="61"/>
      <c r="G27" s="61"/>
      <c r="H27" s="61"/>
      <c r="I27" s="61"/>
    </row>
    <row r="28" spans="1:9" ht="14.5" customHeight="1" x14ac:dyDescent="0.35">
      <c r="A28" s="214"/>
      <c r="B28" s="61"/>
      <c r="C28" s="61"/>
      <c r="D28" s="61"/>
      <c r="E28" s="61"/>
      <c r="F28" s="61"/>
      <c r="G28" s="61"/>
      <c r="H28" s="61"/>
    </row>
    <row r="29" spans="1:9" ht="14.5" customHeight="1" x14ac:dyDescent="0.35">
      <c r="A29" t="s">
        <v>157</v>
      </c>
      <c r="B29" s="61"/>
      <c r="C29" s="61"/>
      <c r="D29" s="61"/>
      <c r="E29" s="61"/>
      <c r="F29" s="61"/>
      <c r="G29" s="61"/>
      <c r="H29" s="61"/>
    </row>
    <row r="30" spans="1:9" ht="14.5" customHeight="1" x14ac:dyDescent="0.35">
      <c r="A30" t="s">
        <v>9</v>
      </c>
      <c r="B30" s="61"/>
      <c r="C30" s="61"/>
      <c r="D30" s="61"/>
      <c r="E30" s="61"/>
      <c r="F30" s="61"/>
      <c r="G30" s="61"/>
      <c r="H30" s="61"/>
    </row>
    <row r="31" spans="1:9" ht="14.5" customHeight="1" x14ac:dyDescent="0.35">
      <c r="A31" t="s">
        <v>10</v>
      </c>
      <c r="B31" s="61"/>
      <c r="C31" s="61"/>
      <c r="D31" s="61"/>
      <c r="E31" s="61"/>
      <c r="F31" s="61"/>
      <c r="G31" s="61"/>
      <c r="H31" s="61"/>
    </row>
    <row r="32" spans="1:9" ht="14.5" customHeight="1" x14ac:dyDescent="0.35">
      <c r="A32" t="s">
        <v>11</v>
      </c>
      <c r="B32" s="61"/>
      <c r="C32" s="61"/>
      <c r="D32" s="61"/>
      <c r="E32" s="61"/>
      <c r="F32" s="61"/>
      <c r="G32" s="61"/>
      <c r="H32" s="61"/>
    </row>
    <row r="34" spans="1:2" x14ac:dyDescent="0.35">
      <c r="A34" s="62"/>
    </row>
    <row r="35" spans="1:2" ht="15.5" x14ac:dyDescent="0.35">
      <c r="A35" s="137"/>
      <c r="B35" s="24"/>
    </row>
    <row r="36" spans="1:2" ht="15.5" x14ac:dyDescent="0.35">
      <c r="A36" s="137"/>
      <c r="B36" s="24"/>
    </row>
    <row r="37" spans="1:2" ht="15.5" x14ac:dyDescent="0.35">
      <c r="A37" s="137"/>
      <c r="B37" s="24"/>
    </row>
    <row r="38" spans="1:2" ht="15.5" x14ac:dyDescent="0.35">
      <c r="A38" s="90"/>
      <c r="B38" s="24"/>
    </row>
    <row r="41" spans="1:2" x14ac:dyDescent="0.35">
      <c r="A41" s="60"/>
    </row>
    <row r="42" spans="1:2" x14ac:dyDescent="0.35">
      <c r="A42" s="215"/>
    </row>
    <row r="43" spans="1:2" x14ac:dyDescent="0.35">
      <c r="A43" s="215"/>
    </row>
    <row r="44" spans="1:2" x14ac:dyDescent="0.35">
      <c r="A44" s="216"/>
    </row>
  </sheetData>
  <pageMargins left="0.25" right="0.25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CEFD-6DCB-4A94-9DA7-0EF7E848680B}">
  <sheetPr codeName="Sheet2">
    <pageSetUpPr fitToPage="1"/>
  </sheetPr>
  <dimension ref="A1:AN24"/>
  <sheetViews>
    <sheetView zoomScale="75" zoomScaleNormal="75" workbookViewId="0"/>
  </sheetViews>
  <sheetFormatPr defaultRowHeight="15.5" x14ac:dyDescent="0.35"/>
  <cols>
    <col min="1" max="1" width="31.7265625" style="6" bestFit="1" customWidth="1"/>
    <col min="2" max="2" width="42.1796875" style="6" customWidth="1"/>
    <col min="3" max="3" width="27.26953125" style="6" customWidth="1"/>
    <col min="4" max="4" width="32.26953125" style="6" customWidth="1"/>
    <col min="5" max="5" width="20.7265625" style="6" customWidth="1"/>
    <col min="6" max="8" width="26.7265625" style="6" customWidth="1"/>
    <col min="9" max="9" width="20.7265625" style="6" customWidth="1"/>
    <col min="10" max="13" width="23.1796875" style="6" customWidth="1"/>
    <col min="14" max="14" width="45.54296875" style="6" customWidth="1"/>
    <col min="15" max="53" width="20.7265625" customWidth="1"/>
    <col min="54" max="276" width="8.81640625"/>
    <col min="277" max="277" width="13.7265625" customWidth="1"/>
    <col min="278" max="278" width="14.26953125" customWidth="1"/>
    <col min="279" max="279" width="27.7265625" customWidth="1"/>
    <col min="280" max="280" width="19.1796875" customWidth="1"/>
    <col min="281" max="281" width="23.26953125" customWidth="1"/>
    <col min="282" max="282" width="20.7265625" customWidth="1"/>
    <col min="283" max="283" width="23.1796875" customWidth="1"/>
    <col min="284" max="284" width="24" customWidth="1"/>
    <col min="285" max="285" width="17" customWidth="1"/>
    <col min="286" max="286" width="8.81640625"/>
    <col min="287" max="287" width="16" customWidth="1"/>
    <col min="288" max="288" width="16.7265625" customWidth="1"/>
    <col min="289" max="289" width="13.26953125" customWidth="1"/>
    <col min="290" max="532" width="8.81640625"/>
    <col min="533" max="533" width="13.7265625" customWidth="1"/>
    <col min="534" max="534" width="14.26953125" customWidth="1"/>
    <col min="535" max="535" width="27.7265625" customWidth="1"/>
    <col min="536" max="536" width="19.1796875" customWidth="1"/>
    <col min="537" max="537" width="23.26953125" customWidth="1"/>
    <col min="538" max="538" width="20.7265625" customWidth="1"/>
    <col min="539" max="539" width="23.1796875" customWidth="1"/>
    <col min="540" max="540" width="24" customWidth="1"/>
    <col min="541" max="541" width="17" customWidth="1"/>
    <col min="542" max="542" width="8.81640625"/>
    <col min="543" max="543" width="16" customWidth="1"/>
    <col min="544" max="544" width="16.7265625" customWidth="1"/>
    <col min="545" max="545" width="13.26953125" customWidth="1"/>
    <col min="546" max="788" width="8.81640625"/>
    <col min="789" max="789" width="13.7265625" customWidth="1"/>
    <col min="790" max="790" width="14.26953125" customWidth="1"/>
    <col min="791" max="791" width="27.7265625" customWidth="1"/>
    <col min="792" max="792" width="19.1796875" customWidth="1"/>
    <col min="793" max="793" width="23.26953125" customWidth="1"/>
    <col min="794" max="794" width="20.7265625" customWidth="1"/>
    <col min="795" max="795" width="23.1796875" customWidth="1"/>
    <col min="796" max="796" width="24" customWidth="1"/>
    <col min="797" max="797" width="17" customWidth="1"/>
    <col min="798" max="798" width="8.81640625"/>
    <col min="799" max="799" width="16" customWidth="1"/>
    <col min="800" max="800" width="16.7265625" customWidth="1"/>
    <col min="801" max="801" width="13.26953125" customWidth="1"/>
    <col min="802" max="1044" width="8.81640625"/>
    <col min="1045" max="1045" width="13.7265625" customWidth="1"/>
    <col min="1046" max="1046" width="14.26953125" customWidth="1"/>
    <col min="1047" max="1047" width="27.7265625" customWidth="1"/>
    <col min="1048" max="1048" width="19.1796875" customWidth="1"/>
    <col min="1049" max="1049" width="23.26953125" customWidth="1"/>
    <col min="1050" max="1050" width="20.7265625" customWidth="1"/>
    <col min="1051" max="1051" width="23.1796875" customWidth="1"/>
    <col min="1052" max="1052" width="24" customWidth="1"/>
    <col min="1053" max="1053" width="17" customWidth="1"/>
    <col min="1054" max="1054" width="8.81640625"/>
    <col min="1055" max="1055" width="16" customWidth="1"/>
    <col min="1056" max="1056" width="16.7265625" customWidth="1"/>
    <col min="1057" max="1057" width="13.26953125" customWidth="1"/>
    <col min="1058" max="1300" width="8.81640625"/>
    <col min="1301" max="1301" width="13.7265625" customWidth="1"/>
    <col min="1302" max="1302" width="14.26953125" customWidth="1"/>
    <col min="1303" max="1303" width="27.7265625" customWidth="1"/>
    <col min="1304" max="1304" width="19.1796875" customWidth="1"/>
    <col min="1305" max="1305" width="23.26953125" customWidth="1"/>
    <col min="1306" max="1306" width="20.7265625" customWidth="1"/>
    <col min="1307" max="1307" width="23.1796875" customWidth="1"/>
    <col min="1308" max="1308" width="24" customWidth="1"/>
    <col min="1309" max="1309" width="17" customWidth="1"/>
    <col min="1310" max="1310" width="8.81640625"/>
    <col min="1311" max="1311" width="16" customWidth="1"/>
    <col min="1312" max="1312" width="16.7265625" customWidth="1"/>
    <col min="1313" max="1313" width="13.26953125" customWidth="1"/>
    <col min="1314" max="1556" width="8.81640625"/>
    <col min="1557" max="1557" width="13.7265625" customWidth="1"/>
    <col min="1558" max="1558" width="14.26953125" customWidth="1"/>
    <col min="1559" max="1559" width="27.7265625" customWidth="1"/>
    <col min="1560" max="1560" width="19.1796875" customWidth="1"/>
    <col min="1561" max="1561" width="23.26953125" customWidth="1"/>
    <col min="1562" max="1562" width="20.7265625" customWidth="1"/>
    <col min="1563" max="1563" width="23.1796875" customWidth="1"/>
    <col min="1564" max="1564" width="24" customWidth="1"/>
    <col min="1565" max="1565" width="17" customWidth="1"/>
    <col min="1566" max="1566" width="8.81640625"/>
    <col min="1567" max="1567" width="16" customWidth="1"/>
    <col min="1568" max="1568" width="16.7265625" customWidth="1"/>
    <col min="1569" max="1569" width="13.26953125" customWidth="1"/>
    <col min="1570" max="1812" width="8.81640625"/>
    <col min="1813" max="1813" width="13.7265625" customWidth="1"/>
    <col min="1814" max="1814" width="14.26953125" customWidth="1"/>
    <col min="1815" max="1815" width="27.7265625" customWidth="1"/>
    <col min="1816" max="1816" width="19.1796875" customWidth="1"/>
    <col min="1817" max="1817" width="23.26953125" customWidth="1"/>
    <col min="1818" max="1818" width="20.7265625" customWidth="1"/>
    <col min="1819" max="1819" width="23.1796875" customWidth="1"/>
    <col min="1820" max="1820" width="24" customWidth="1"/>
    <col min="1821" max="1821" width="17" customWidth="1"/>
    <col min="1822" max="1822" width="8.81640625"/>
    <col min="1823" max="1823" width="16" customWidth="1"/>
    <col min="1824" max="1824" width="16.7265625" customWidth="1"/>
    <col min="1825" max="1825" width="13.26953125" customWidth="1"/>
    <col min="1826" max="2068" width="8.81640625"/>
    <col min="2069" max="2069" width="13.7265625" customWidth="1"/>
    <col min="2070" max="2070" width="14.26953125" customWidth="1"/>
    <col min="2071" max="2071" width="27.7265625" customWidth="1"/>
    <col min="2072" max="2072" width="19.1796875" customWidth="1"/>
    <col min="2073" max="2073" width="23.26953125" customWidth="1"/>
    <col min="2074" max="2074" width="20.7265625" customWidth="1"/>
    <col min="2075" max="2075" width="23.1796875" customWidth="1"/>
    <col min="2076" max="2076" width="24" customWidth="1"/>
    <col min="2077" max="2077" width="17" customWidth="1"/>
    <col min="2078" max="2078" width="8.81640625"/>
    <col min="2079" max="2079" width="16" customWidth="1"/>
    <col min="2080" max="2080" width="16.7265625" customWidth="1"/>
    <col min="2081" max="2081" width="13.26953125" customWidth="1"/>
    <col min="2082" max="2324" width="8.81640625"/>
    <col min="2325" max="2325" width="13.7265625" customWidth="1"/>
    <col min="2326" max="2326" width="14.26953125" customWidth="1"/>
    <col min="2327" max="2327" width="27.7265625" customWidth="1"/>
    <col min="2328" max="2328" width="19.1796875" customWidth="1"/>
    <col min="2329" max="2329" width="23.26953125" customWidth="1"/>
    <col min="2330" max="2330" width="20.7265625" customWidth="1"/>
    <col min="2331" max="2331" width="23.1796875" customWidth="1"/>
    <col min="2332" max="2332" width="24" customWidth="1"/>
    <col min="2333" max="2333" width="17" customWidth="1"/>
    <col min="2334" max="2334" width="8.81640625"/>
    <col min="2335" max="2335" width="16" customWidth="1"/>
    <col min="2336" max="2336" width="16.7265625" customWidth="1"/>
    <col min="2337" max="2337" width="13.26953125" customWidth="1"/>
    <col min="2338" max="2580" width="8.81640625"/>
    <col min="2581" max="2581" width="13.7265625" customWidth="1"/>
    <col min="2582" max="2582" width="14.26953125" customWidth="1"/>
    <col min="2583" max="2583" width="27.7265625" customWidth="1"/>
    <col min="2584" max="2584" width="19.1796875" customWidth="1"/>
    <col min="2585" max="2585" width="23.26953125" customWidth="1"/>
    <col min="2586" max="2586" width="20.7265625" customWidth="1"/>
    <col min="2587" max="2587" width="23.1796875" customWidth="1"/>
    <col min="2588" max="2588" width="24" customWidth="1"/>
    <col min="2589" max="2589" width="17" customWidth="1"/>
    <col min="2590" max="2590" width="8.81640625"/>
    <col min="2591" max="2591" width="16" customWidth="1"/>
    <col min="2592" max="2592" width="16.7265625" customWidth="1"/>
    <col min="2593" max="2593" width="13.26953125" customWidth="1"/>
    <col min="2594" max="2836" width="8.81640625"/>
    <col min="2837" max="2837" width="13.7265625" customWidth="1"/>
    <col min="2838" max="2838" width="14.26953125" customWidth="1"/>
    <col min="2839" max="2839" width="27.7265625" customWidth="1"/>
    <col min="2840" max="2840" width="19.1796875" customWidth="1"/>
    <col min="2841" max="2841" width="23.26953125" customWidth="1"/>
    <col min="2842" max="2842" width="20.7265625" customWidth="1"/>
    <col min="2843" max="2843" width="23.1796875" customWidth="1"/>
    <col min="2844" max="2844" width="24" customWidth="1"/>
    <col min="2845" max="2845" width="17" customWidth="1"/>
    <col min="2846" max="2846" width="8.81640625"/>
    <col min="2847" max="2847" width="16" customWidth="1"/>
    <col min="2848" max="2848" width="16.7265625" customWidth="1"/>
    <col min="2849" max="2849" width="13.26953125" customWidth="1"/>
    <col min="2850" max="3092" width="8.81640625"/>
    <col min="3093" max="3093" width="13.7265625" customWidth="1"/>
    <col min="3094" max="3094" width="14.26953125" customWidth="1"/>
    <col min="3095" max="3095" width="27.7265625" customWidth="1"/>
    <col min="3096" max="3096" width="19.1796875" customWidth="1"/>
    <col min="3097" max="3097" width="23.26953125" customWidth="1"/>
    <col min="3098" max="3098" width="20.7265625" customWidth="1"/>
    <col min="3099" max="3099" width="23.1796875" customWidth="1"/>
    <col min="3100" max="3100" width="24" customWidth="1"/>
    <col min="3101" max="3101" width="17" customWidth="1"/>
    <col min="3102" max="3102" width="8.81640625"/>
    <col min="3103" max="3103" width="16" customWidth="1"/>
    <col min="3104" max="3104" width="16.7265625" customWidth="1"/>
    <col min="3105" max="3105" width="13.26953125" customWidth="1"/>
    <col min="3106" max="3348" width="8.81640625"/>
    <col min="3349" max="3349" width="13.7265625" customWidth="1"/>
    <col min="3350" max="3350" width="14.26953125" customWidth="1"/>
    <col min="3351" max="3351" width="27.7265625" customWidth="1"/>
    <col min="3352" max="3352" width="19.1796875" customWidth="1"/>
    <col min="3353" max="3353" width="23.26953125" customWidth="1"/>
    <col min="3354" max="3354" width="20.7265625" customWidth="1"/>
    <col min="3355" max="3355" width="23.1796875" customWidth="1"/>
    <col min="3356" max="3356" width="24" customWidth="1"/>
    <col min="3357" max="3357" width="17" customWidth="1"/>
    <col min="3358" max="3358" width="8.81640625"/>
    <col min="3359" max="3359" width="16" customWidth="1"/>
    <col min="3360" max="3360" width="16.7265625" customWidth="1"/>
    <col min="3361" max="3361" width="13.26953125" customWidth="1"/>
    <col min="3362" max="3604" width="8.81640625"/>
    <col min="3605" max="3605" width="13.7265625" customWidth="1"/>
    <col min="3606" max="3606" width="14.26953125" customWidth="1"/>
    <col min="3607" max="3607" width="27.7265625" customWidth="1"/>
    <col min="3608" max="3608" width="19.1796875" customWidth="1"/>
    <col min="3609" max="3609" width="23.26953125" customWidth="1"/>
    <col min="3610" max="3610" width="20.7265625" customWidth="1"/>
    <col min="3611" max="3611" width="23.1796875" customWidth="1"/>
    <col min="3612" max="3612" width="24" customWidth="1"/>
    <col min="3613" max="3613" width="17" customWidth="1"/>
    <col min="3614" max="3614" width="8.81640625"/>
    <col min="3615" max="3615" width="16" customWidth="1"/>
    <col min="3616" max="3616" width="16.7265625" customWidth="1"/>
    <col min="3617" max="3617" width="13.26953125" customWidth="1"/>
    <col min="3618" max="3860" width="8.81640625"/>
    <col min="3861" max="3861" width="13.7265625" customWidth="1"/>
    <col min="3862" max="3862" width="14.26953125" customWidth="1"/>
    <col min="3863" max="3863" width="27.7265625" customWidth="1"/>
    <col min="3864" max="3864" width="19.1796875" customWidth="1"/>
    <col min="3865" max="3865" width="23.26953125" customWidth="1"/>
    <col min="3866" max="3866" width="20.7265625" customWidth="1"/>
    <col min="3867" max="3867" width="23.1796875" customWidth="1"/>
    <col min="3868" max="3868" width="24" customWidth="1"/>
    <col min="3869" max="3869" width="17" customWidth="1"/>
    <col min="3870" max="3870" width="8.81640625"/>
    <col min="3871" max="3871" width="16" customWidth="1"/>
    <col min="3872" max="3872" width="16.7265625" customWidth="1"/>
    <col min="3873" max="3873" width="13.26953125" customWidth="1"/>
    <col min="3874" max="4116" width="8.81640625"/>
    <col min="4117" max="4117" width="13.7265625" customWidth="1"/>
    <col min="4118" max="4118" width="14.26953125" customWidth="1"/>
    <col min="4119" max="4119" width="27.7265625" customWidth="1"/>
    <col min="4120" max="4120" width="19.1796875" customWidth="1"/>
    <col min="4121" max="4121" width="23.26953125" customWidth="1"/>
    <col min="4122" max="4122" width="20.7265625" customWidth="1"/>
    <col min="4123" max="4123" width="23.1796875" customWidth="1"/>
    <col min="4124" max="4124" width="24" customWidth="1"/>
    <col min="4125" max="4125" width="17" customWidth="1"/>
    <col min="4126" max="4126" width="8.81640625"/>
    <col min="4127" max="4127" width="16" customWidth="1"/>
    <col min="4128" max="4128" width="16.7265625" customWidth="1"/>
    <col min="4129" max="4129" width="13.26953125" customWidth="1"/>
    <col min="4130" max="4372" width="8.81640625"/>
    <col min="4373" max="4373" width="13.7265625" customWidth="1"/>
    <col min="4374" max="4374" width="14.26953125" customWidth="1"/>
    <col min="4375" max="4375" width="27.7265625" customWidth="1"/>
    <col min="4376" max="4376" width="19.1796875" customWidth="1"/>
    <col min="4377" max="4377" width="23.26953125" customWidth="1"/>
    <col min="4378" max="4378" width="20.7265625" customWidth="1"/>
    <col min="4379" max="4379" width="23.1796875" customWidth="1"/>
    <col min="4380" max="4380" width="24" customWidth="1"/>
    <col min="4381" max="4381" width="17" customWidth="1"/>
    <col min="4382" max="4382" width="8.81640625"/>
    <col min="4383" max="4383" width="16" customWidth="1"/>
    <col min="4384" max="4384" width="16.7265625" customWidth="1"/>
    <col min="4385" max="4385" width="13.26953125" customWidth="1"/>
    <col min="4386" max="4628" width="8.81640625"/>
    <col min="4629" max="4629" width="13.7265625" customWidth="1"/>
    <col min="4630" max="4630" width="14.26953125" customWidth="1"/>
    <col min="4631" max="4631" width="27.7265625" customWidth="1"/>
    <col min="4632" max="4632" width="19.1796875" customWidth="1"/>
    <col min="4633" max="4633" width="23.26953125" customWidth="1"/>
    <col min="4634" max="4634" width="20.7265625" customWidth="1"/>
    <col min="4635" max="4635" width="23.1796875" customWidth="1"/>
    <col min="4636" max="4636" width="24" customWidth="1"/>
    <col min="4637" max="4637" width="17" customWidth="1"/>
    <col min="4638" max="4638" width="8.81640625"/>
    <col min="4639" max="4639" width="16" customWidth="1"/>
    <col min="4640" max="4640" width="16.7265625" customWidth="1"/>
    <col min="4641" max="4641" width="13.26953125" customWidth="1"/>
    <col min="4642" max="4884" width="8.81640625"/>
    <col min="4885" max="4885" width="13.7265625" customWidth="1"/>
    <col min="4886" max="4886" width="14.26953125" customWidth="1"/>
    <col min="4887" max="4887" width="27.7265625" customWidth="1"/>
    <col min="4888" max="4888" width="19.1796875" customWidth="1"/>
    <col min="4889" max="4889" width="23.26953125" customWidth="1"/>
    <col min="4890" max="4890" width="20.7265625" customWidth="1"/>
    <col min="4891" max="4891" width="23.1796875" customWidth="1"/>
    <col min="4892" max="4892" width="24" customWidth="1"/>
    <col min="4893" max="4893" width="17" customWidth="1"/>
    <col min="4894" max="4894" width="8.81640625"/>
    <col min="4895" max="4895" width="16" customWidth="1"/>
    <col min="4896" max="4896" width="16.7265625" customWidth="1"/>
    <col min="4897" max="4897" width="13.26953125" customWidth="1"/>
    <col min="4898" max="5140" width="8.81640625"/>
    <col min="5141" max="5141" width="13.7265625" customWidth="1"/>
    <col min="5142" max="5142" width="14.26953125" customWidth="1"/>
    <col min="5143" max="5143" width="27.7265625" customWidth="1"/>
    <col min="5144" max="5144" width="19.1796875" customWidth="1"/>
    <col min="5145" max="5145" width="23.26953125" customWidth="1"/>
    <col min="5146" max="5146" width="20.7265625" customWidth="1"/>
    <col min="5147" max="5147" width="23.1796875" customWidth="1"/>
    <col min="5148" max="5148" width="24" customWidth="1"/>
    <col min="5149" max="5149" width="17" customWidth="1"/>
    <col min="5150" max="5150" width="8.81640625"/>
    <col min="5151" max="5151" width="16" customWidth="1"/>
    <col min="5152" max="5152" width="16.7265625" customWidth="1"/>
    <col min="5153" max="5153" width="13.26953125" customWidth="1"/>
    <col min="5154" max="5396" width="8.81640625"/>
    <col min="5397" max="5397" width="13.7265625" customWidth="1"/>
    <col min="5398" max="5398" width="14.26953125" customWidth="1"/>
    <col min="5399" max="5399" width="27.7265625" customWidth="1"/>
    <col min="5400" max="5400" width="19.1796875" customWidth="1"/>
    <col min="5401" max="5401" width="23.26953125" customWidth="1"/>
    <col min="5402" max="5402" width="20.7265625" customWidth="1"/>
    <col min="5403" max="5403" width="23.1796875" customWidth="1"/>
    <col min="5404" max="5404" width="24" customWidth="1"/>
    <col min="5405" max="5405" width="17" customWidth="1"/>
    <col min="5406" max="5406" width="8.81640625"/>
    <col min="5407" max="5407" width="16" customWidth="1"/>
    <col min="5408" max="5408" width="16.7265625" customWidth="1"/>
    <col min="5409" max="5409" width="13.26953125" customWidth="1"/>
    <col min="5410" max="5652" width="8.81640625"/>
    <col min="5653" max="5653" width="13.7265625" customWidth="1"/>
    <col min="5654" max="5654" width="14.26953125" customWidth="1"/>
    <col min="5655" max="5655" width="27.7265625" customWidth="1"/>
    <col min="5656" max="5656" width="19.1796875" customWidth="1"/>
    <col min="5657" max="5657" width="23.26953125" customWidth="1"/>
    <col min="5658" max="5658" width="20.7265625" customWidth="1"/>
    <col min="5659" max="5659" width="23.1796875" customWidth="1"/>
    <col min="5660" max="5660" width="24" customWidth="1"/>
    <col min="5661" max="5661" width="17" customWidth="1"/>
    <col min="5662" max="5662" width="8.81640625"/>
    <col min="5663" max="5663" width="16" customWidth="1"/>
    <col min="5664" max="5664" width="16.7265625" customWidth="1"/>
    <col min="5665" max="5665" width="13.26953125" customWidth="1"/>
    <col min="5666" max="5908" width="8.81640625"/>
    <col min="5909" max="5909" width="13.7265625" customWidth="1"/>
    <col min="5910" max="5910" width="14.26953125" customWidth="1"/>
    <col min="5911" max="5911" width="27.7265625" customWidth="1"/>
    <col min="5912" max="5912" width="19.1796875" customWidth="1"/>
    <col min="5913" max="5913" width="23.26953125" customWidth="1"/>
    <col min="5914" max="5914" width="20.7265625" customWidth="1"/>
    <col min="5915" max="5915" width="23.1796875" customWidth="1"/>
    <col min="5916" max="5916" width="24" customWidth="1"/>
    <col min="5917" max="5917" width="17" customWidth="1"/>
    <col min="5918" max="5918" width="8.81640625"/>
    <col min="5919" max="5919" width="16" customWidth="1"/>
    <col min="5920" max="5920" width="16.7265625" customWidth="1"/>
    <col min="5921" max="5921" width="13.26953125" customWidth="1"/>
    <col min="5922" max="6164" width="8.81640625"/>
    <col min="6165" max="6165" width="13.7265625" customWidth="1"/>
    <col min="6166" max="6166" width="14.26953125" customWidth="1"/>
    <col min="6167" max="6167" width="27.7265625" customWidth="1"/>
    <col min="6168" max="6168" width="19.1796875" customWidth="1"/>
    <col min="6169" max="6169" width="23.26953125" customWidth="1"/>
    <col min="6170" max="6170" width="20.7265625" customWidth="1"/>
    <col min="6171" max="6171" width="23.1796875" customWidth="1"/>
    <col min="6172" max="6172" width="24" customWidth="1"/>
    <col min="6173" max="6173" width="17" customWidth="1"/>
    <col min="6174" max="6174" width="8.81640625"/>
    <col min="6175" max="6175" width="16" customWidth="1"/>
    <col min="6176" max="6176" width="16.7265625" customWidth="1"/>
    <col min="6177" max="6177" width="13.26953125" customWidth="1"/>
    <col min="6178" max="6420" width="8.81640625"/>
    <col min="6421" max="6421" width="13.7265625" customWidth="1"/>
    <col min="6422" max="6422" width="14.26953125" customWidth="1"/>
    <col min="6423" max="6423" width="27.7265625" customWidth="1"/>
    <col min="6424" max="6424" width="19.1796875" customWidth="1"/>
    <col min="6425" max="6425" width="23.26953125" customWidth="1"/>
    <col min="6426" max="6426" width="20.7265625" customWidth="1"/>
    <col min="6427" max="6427" width="23.1796875" customWidth="1"/>
    <col min="6428" max="6428" width="24" customWidth="1"/>
    <col min="6429" max="6429" width="17" customWidth="1"/>
    <col min="6430" max="6430" width="8.81640625"/>
    <col min="6431" max="6431" width="16" customWidth="1"/>
    <col min="6432" max="6432" width="16.7265625" customWidth="1"/>
    <col min="6433" max="6433" width="13.26953125" customWidth="1"/>
    <col min="6434" max="6676" width="8.81640625"/>
    <col min="6677" max="6677" width="13.7265625" customWidth="1"/>
    <col min="6678" max="6678" width="14.26953125" customWidth="1"/>
    <col min="6679" max="6679" width="27.7265625" customWidth="1"/>
    <col min="6680" max="6680" width="19.1796875" customWidth="1"/>
    <col min="6681" max="6681" width="23.26953125" customWidth="1"/>
    <col min="6682" max="6682" width="20.7265625" customWidth="1"/>
    <col min="6683" max="6683" width="23.1796875" customWidth="1"/>
    <col min="6684" max="6684" width="24" customWidth="1"/>
    <col min="6685" max="6685" width="17" customWidth="1"/>
    <col min="6686" max="6686" width="8.81640625"/>
    <col min="6687" max="6687" width="16" customWidth="1"/>
    <col min="6688" max="6688" width="16.7265625" customWidth="1"/>
    <col min="6689" max="6689" width="13.26953125" customWidth="1"/>
    <col min="6690" max="6932" width="8.81640625"/>
    <col min="6933" max="6933" width="13.7265625" customWidth="1"/>
    <col min="6934" max="6934" width="14.26953125" customWidth="1"/>
    <col min="6935" max="6935" width="27.7265625" customWidth="1"/>
    <col min="6936" max="6936" width="19.1796875" customWidth="1"/>
    <col min="6937" max="6937" width="23.26953125" customWidth="1"/>
    <col min="6938" max="6938" width="20.7265625" customWidth="1"/>
    <col min="6939" max="6939" width="23.1796875" customWidth="1"/>
    <col min="6940" max="6940" width="24" customWidth="1"/>
    <col min="6941" max="6941" width="17" customWidth="1"/>
    <col min="6942" max="6942" width="8.81640625"/>
    <col min="6943" max="6943" width="16" customWidth="1"/>
    <col min="6944" max="6944" width="16.7265625" customWidth="1"/>
    <col min="6945" max="6945" width="13.26953125" customWidth="1"/>
    <col min="6946" max="7188" width="8.81640625"/>
    <col min="7189" max="7189" width="13.7265625" customWidth="1"/>
    <col min="7190" max="7190" width="14.26953125" customWidth="1"/>
    <col min="7191" max="7191" width="27.7265625" customWidth="1"/>
    <col min="7192" max="7192" width="19.1796875" customWidth="1"/>
    <col min="7193" max="7193" width="23.26953125" customWidth="1"/>
    <col min="7194" max="7194" width="20.7265625" customWidth="1"/>
    <col min="7195" max="7195" width="23.1796875" customWidth="1"/>
    <col min="7196" max="7196" width="24" customWidth="1"/>
    <col min="7197" max="7197" width="17" customWidth="1"/>
    <col min="7198" max="7198" width="8.81640625"/>
    <col min="7199" max="7199" width="16" customWidth="1"/>
    <col min="7200" max="7200" width="16.7265625" customWidth="1"/>
    <col min="7201" max="7201" width="13.26953125" customWidth="1"/>
    <col min="7202" max="7444" width="8.81640625"/>
    <col min="7445" max="7445" width="13.7265625" customWidth="1"/>
    <col min="7446" max="7446" width="14.26953125" customWidth="1"/>
    <col min="7447" max="7447" width="27.7265625" customWidth="1"/>
    <col min="7448" max="7448" width="19.1796875" customWidth="1"/>
    <col min="7449" max="7449" width="23.26953125" customWidth="1"/>
    <col min="7450" max="7450" width="20.7265625" customWidth="1"/>
    <col min="7451" max="7451" width="23.1796875" customWidth="1"/>
    <col min="7452" max="7452" width="24" customWidth="1"/>
    <col min="7453" max="7453" width="17" customWidth="1"/>
    <col min="7454" max="7454" width="8.81640625"/>
    <col min="7455" max="7455" width="16" customWidth="1"/>
    <col min="7456" max="7456" width="16.7265625" customWidth="1"/>
    <col min="7457" max="7457" width="13.26953125" customWidth="1"/>
    <col min="7458" max="7700" width="8.81640625"/>
    <col min="7701" max="7701" width="13.7265625" customWidth="1"/>
    <col min="7702" max="7702" width="14.26953125" customWidth="1"/>
    <col min="7703" max="7703" width="27.7265625" customWidth="1"/>
    <col min="7704" max="7704" width="19.1796875" customWidth="1"/>
    <col min="7705" max="7705" width="23.26953125" customWidth="1"/>
    <col min="7706" max="7706" width="20.7265625" customWidth="1"/>
    <col min="7707" max="7707" width="23.1796875" customWidth="1"/>
    <col min="7708" max="7708" width="24" customWidth="1"/>
    <col min="7709" max="7709" width="17" customWidth="1"/>
    <col min="7710" max="7710" width="8.81640625"/>
    <col min="7711" max="7711" width="16" customWidth="1"/>
    <col min="7712" max="7712" width="16.7265625" customWidth="1"/>
    <col min="7713" max="7713" width="13.26953125" customWidth="1"/>
    <col min="7714" max="7956" width="8.81640625"/>
    <col min="7957" max="7957" width="13.7265625" customWidth="1"/>
    <col min="7958" max="7958" width="14.26953125" customWidth="1"/>
    <col min="7959" max="7959" width="27.7265625" customWidth="1"/>
    <col min="7960" max="7960" width="19.1796875" customWidth="1"/>
    <col min="7961" max="7961" width="23.26953125" customWidth="1"/>
    <col min="7962" max="7962" width="20.7265625" customWidth="1"/>
    <col min="7963" max="7963" width="23.1796875" customWidth="1"/>
    <col min="7964" max="7964" width="24" customWidth="1"/>
    <col min="7965" max="7965" width="17" customWidth="1"/>
    <col min="7966" max="7966" width="8.81640625"/>
    <col min="7967" max="7967" width="16" customWidth="1"/>
    <col min="7968" max="7968" width="16.7265625" customWidth="1"/>
    <col min="7969" max="7969" width="13.26953125" customWidth="1"/>
    <col min="7970" max="8212" width="8.81640625"/>
    <col min="8213" max="8213" width="13.7265625" customWidth="1"/>
    <col min="8214" max="8214" width="14.26953125" customWidth="1"/>
    <col min="8215" max="8215" width="27.7265625" customWidth="1"/>
    <col min="8216" max="8216" width="19.1796875" customWidth="1"/>
    <col min="8217" max="8217" width="23.26953125" customWidth="1"/>
    <col min="8218" max="8218" width="20.7265625" customWidth="1"/>
    <col min="8219" max="8219" width="23.1796875" customWidth="1"/>
    <col min="8220" max="8220" width="24" customWidth="1"/>
    <col min="8221" max="8221" width="17" customWidth="1"/>
    <col min="8222" max="8222" width="8.81640625"/>
    <col min="8223" max="8223" width="16" customWidth="1"/>
    <col min="8224" max="8224" width="16.7265625" customWidth="1"/>
    <col min="8225" max="8225" width="13.26953125" customWidth="1"/>
    <col min="8226" max="8468" width="8.81640625"/>
    <col min="8469" max="8469" width="13.7265625" customWidth="1"/>
    <col min="8470" max="8470" width="14.26953125" customWidth="1"/>
    <col min="8471" max="8471" width="27.7265625" customWidth="1"/>
    <col min="8472" max="8472" width="19.1796875" customWidth="1"/>
    <col min="8473" max="8473" width="23.26953125" customWidth="1"/>
    <col min="8474" max="8474" width="20.7265625" customWidth="1"/>
    <col min="8475" max="8475" width="23.1796875" customWidth="1"/>
    <col min="8476" max="8476" width="24" customWidth="1"/>
    <col min="8477" max="8477" width="17" customWidth="1"/>
    <col min="8478" max="8478" width="8.81640625"/>
    <col min="8479" max="8479" width="16" customWidth="1"/>
    <col min="8480" max="8480" width="16.7265625" customWidth="1"/>
    <col min="8481" max="8481" width="13.26953125" customWidth="1"/>
    <col min="8482" max="8724" width="8.81640625"/>
    <col min="8725" max="8725" width="13.7265625" customWidth="1"/>
    <col min="8726" max="8726" width="14.26953125" customWidth="1"/>
    <col min="8727" max="8727" width="27.7265625" customWidth="1"/>
    <col min="8728" max="8728" width="19.1796875" customWidth="1"/>
    <col min="8729" max="8729" width="23.26953125" customWidth="1"/>
    <col min="8730" max="8730" width="20.7265625" customWidth="1"/>
    <col min="8731" max="8731" width="23.1796875" customWidth="1"/>
    <col min="8732" max="8732" width="24" customWidth="1"/>
    <col min="8733" max="8733" width="17" customWidth="1"/>
    <col min="8734" max="8734" width="8.81640625"/>
    <col min="8735" max="8735" width="16" customWidth="1"/>
    <col min="8736" max="8736" width="16.7265625" customWidth="1"/>
    <col min="8737" max="8737" width="13.26953125" customWidth="1"/>
    <col min="8738" max="8980" width="8.81640625"/>
    <col min="8981" max="8981" width="13.7265625" customWidth="1"/>
    <col min="8982" max="8982" width="14.26953125" customWidth="1"/>
    <col min="8983" max="8983" width="27.7265625" customWidth="1"/>
    <col min="8984" max="8984" width="19.1796875" customWidth="1"/>
    <col min="8985" max="8985" width="23.26953125" customWidth="1"/>
    <col min="8986" max="8986" width="20.7265625" customWidth="1"/>
    <col min="8987" max="8987" width="23.1796875" customWidth="1"/>
    <col min="8988" max="8988" width="24" customWidth="1"/>
    <col min="8989" max="8989" width="17" customWidth="1"/>
    <col min="8990" max="8990" width="8.81640625"/>
    <col min="8991" max="8991" width="16" customWidth="1"/>
    <col min="8992" max="8992" width="16.7265625" customWidth="1"/>
    <col min="8993" max="8993" width="13.26953125" customWidth="1"/>
    <col min="8994" max="9236" width="8.81640625"/>
    <col min="9237" max="9237" width="13.7265625" customWidth="1"/>
    <col min="9238" max="9238" width="14.26953125" customWidth="1"/>
    <col min="9239" max="9239" width="27.7265625" customWidth="1"/>
    <col min="9240" max="9240" width="19.1796875" customWidth="1"/>
    <col min="9241" max="9241" width="23.26953125" customWidth="1"/>
    <col min="9242" max="9242" width="20.7265625" customWidth="1"/>
    <col min="9243" max="9243" width="23.1796875" customWidth="1"/>
    <col min="9244" max="9244" width="24" customWidth="1"/>
    <col min="9245" max="9245" width="17" customWidth="1"/>
    <col min="9246" max="9246" width="8.81640625"/>
    <col min="9247" max="9247" width="16" customWidth="1"/>
    <col min="9248" max="9248" width="16.7265625" customWidth="1"/>
    <col min="9249" max="9249" width="13.26953125" customWidth="1"/>
    <col min="9250" max="9492" width="8.81640625"/>
    <col min="9493" max="9493" width="13.7265625" customWidth="1"/>
    <col min="9494" max="9494" width="14.26953125" customWidth="1"/>
    <col min="9495" max="9495" width="27.7265625" customWidth="1"/>
    <col min="9496" max="9496" width="19.1796875" customWidth="1"/>
    <col min="9497" max="9497" width="23.26953125" customWidth="1"/>
    <col min="9498" max="9498" width="20.7265625" customWidth="1"/>
    <col min="9499" max="9499" width="23.1796875" customWidth="1"/>
    <col min="9500" max="9500" width="24" customWidth="1"/>
    <col min="9501" max="9501" width="17" customWidth="1"/>
    <col min="9502" max="9502" width="8.81640625"/>
    <col min="9503" max="9503" width="16" customWidth="1"/>
    <col min="9504" max="9504" width="16.7265625" customWidth="1"/>
    <col min="9505" max="9505" width="13.26953125" customWidth="1"/>
    <col min="9506" max="9748" width="8.81640625"/>
    <col min="9749" max="9749" width="13.7265625" customWidth="1"/>
    <col min="9750" max="9750" width="14.26953125" customWidth="1"/>
    <col min="9751" max="9751" width="27.7265625" customWidth="1"/>
    <col min="9752" max="9752" width="19.1796875" customWidth="1"/>
    <col min="9753" max="9753" width="23.26953125" customWidth="1"/>
    <col min="9754" max="9754" width="20.7265625" customWidth="1"/>
    <col min="9755" max="9755" width="23.1796875" customWidth="1"/>
    <col min="9756" max="9756" width="24" customWidth="1"/>
    <col min="9757" max="9757" width="17" customWidth="1"/>
    <col min="9758" max="9758" width="8.81640625"/>
    <col min="9759" max="9759" width="16" customWidth="1"/>
    <col min="9760" max="9760" width="16.7265625" customWidth="1"/>
    <col min="9761" max="9761" width="13.26953125" customWidth="1"/>
    <col min="9762" max="10004" width="8.81640625"/>
    <col min="10005" max="10005" width="13.7265625" customWidth="1"/>
    <col min="10006" max="10006" width="14.26953125" customWidth="1"/>
    <col min="10007" max="10007" width="27.7265625" customWidth="1"/>
    <col min="10008" max="10008" width="19.1796875" customWidth="1"/>
    <col min="10009" max="10009" width="23.26953125" customWidth="1"/>
    <col min="10010" max="10010" width="20.7265625" customWidth="1"/>
    <col min="10011" max="10011" width="23.1796875" customWidth="1"/>
    <col min="10012" max="10012" width="24" customWidth="1"/>
    <col min="10013" max="10013" width="17" customWidth="1"/>
    <col min="10014" max="10014" width="8.81640625"/>
    <col min="10015" max="10015" width="16" customWidth="1"/>
    <col min="10016" max="10016" width="16.7265625" customWidth="1"/>
    <col min="10017" max="10017" width="13.26953125" customWidth="1"/>
    <col min="10018" max="10260" width="8.81640625"/>
    <col min="10261" max="10261" width="13.7265625" customWidth="1"/>
    <col min="10262" max="10262" width="14.26953125" customWidth="1"/>
    <col min="10263" max="10263" width="27.7265625" customWidth="1"/>
    <col min="10264" max="10264" width="19.1796875" customWidth="1"/>
    <col min="10265" max="10265" width="23.26953125" customWidth="1"/>
    <col min="10266" max="10266" width="20.7265625" customWidth="1"/>
    <col min="10267" max="10267" width="23.1796875" customWidth="1"/>
    <col min="10268" max="10268" width="24" customWidth="1"/>
    <col min="10269" max="10269" width="17" customWidth="1"/>
    <col min="10270" max="10270" width="8.81640625"/>
    <col min="10271" max="10271" width="16" customWidth="1"/>
    <col min="10272" max="10272" width="16.7265625" customWidth="1"/>
    <col min="10273" max="10273" width="13.26953125" customWidth="1"/>
    <col min="10274" max="10516" width="8.81640625"/>
    <col min="10517" max="10517" width="13.7265625" customWidth="1"/>
    <col min="10518" max="10518" width="14.26953125" customWidth="1"/>
    <col min="10519" max="10519" width="27.7265625" customWidth="1"/>
    <col min="10520" max="10520" width="19.1796875" customWidth="1"/>
    <col min="10521" max="10521" width="23.26953125" customWidth="1"/>
    <col min="10522" max="10522" width="20.7265625" customWidth="1"/>
    <col min="10523" max="10523" width="23.1796875" customWidth="1"/>
    <col min="10524" max="10524" width="24" customWidth="1"/>
    <col min="10525" max="10525" width="17" customWidth="1"/>
    <col min="10526" max="10526" width="8.81640625"/>
    <col min="10527" max="10527" width="16" customWidth="1"/>
    <col min="10528" max="10528" width="16.7265625" customWidth="1"/>
    <col min="10529" max="10529" width="13.26953125" customWidth="1"/>
    <col min="10530" max="10772" width="8.81640625"/>
    <col min="10773" max="10773" width="13.7265625" customWidth="1"/>
    <col min="10774" max="10774" width="14.26953125" customWidth="1"/>
    <col min="10775" max="10775" width="27.7265625" customWidth="1"/>
    <col min="10776" max="10776" width="19.1796875" customWidth="1"/>
    <col min="10777" max="10777" width="23.26953125" customWidth="1"/>
    <col min="10778" max="10778" width="20.7265625" customWidth="1"/>
    <col min="10779" max="10779" width="23.1796875" customWidth="1"/>
    <col min="10780" max="10780" width="24" customWidth="1"/>
    <col min="10781" max="10781" width="17" customWidth="1"/>
    <col min="10782" max="10782" width="8.81640625"/>
    <col min="10783" max="10783" width="16" customWidth="1"/>
    <col min="10784" max="10784" width="16.7265625" customWidth="1"/>
    <col min="10785" max="10785" width="13.26953125" customWidth="1"/>
    <col min="10786" max="11028" width="8.81640625"/>
    <col min="11029" max="11029" width="13.7265625" customWidth="1"/>
    <col min="11030" max="11030" width="14.26953125" customWidth="1"/>
    <col min="11031" max="11031" width="27.7265625" customWidth="1"/>
    <col min="11032" max="11032" width="19.1796875" customWidth="1"/>
    <col min="11033" max="11033" width="23.26953125" customWidth="1"/>
    <col min="11034" max="11034" width="20.7265625" customWidth="1"/>
    <col min="11035" max="11035" width="23.1796875" customWidth="1"/>
    <col min="11036" max="11036" width="24" customWidth="1"/>
    <col min="11037" max="11037" width="17" customWidth="1"/>
    <col min="11038" max="11038" width="8.81640625"/>
    <col min="11039" max="11039" width="16" customWidth="1"/>
    <col min="11040" max="11040" width="16.7265625" customWidth="1"/>
    <col min="11041" max="11041" width="13.26953125" customWidth="1"/>
    <col min="11042" max="11284" width="8.81640625"/>
    <col min="11285" max="11285" width="13.7265625" customWidth="1"/>
    <col min="11286" max="11286" width="14.26953125" customWidth="1"/>
    <col min="11287" max="11287" width="27.7265625" customWidth="1"/>
    <col min="11288" max="11288" width="19.1796875" customWidth="1"/>
    <col min="11289" max="11289" width="23.26953125" customWidth="1"/>
    <col min="11290" max="11290" width="20.7265625" customWidth="1"/>
    <col min="11291" max="11291" width="23.1796875" customWidth="1"/>
    <col min="11292" max="11292" width="24" customWidth="1"/>
    <col min="11293" max="11293" width="17" customWidth="1"/>
    <col min="11294" max="11294" width="8.81640625"/>
    <col min="11295" max="11295" width="16" customWidth="1"/>
    <col min="11296" max="11296" width="16.7265625" customWidth="1"/>
    <col min="11297" max="11297" width="13.26953125" customWidth="1"/>
    <col min="11298" max="11540" width="8.81640625"/>
    <col min="11541" max="11541" width="13.7265625" customWidth="1"/>
    <col min="11542" max="11542" width="14.26953125" customWidth="1"/>
    <col min="11543" max="11543" width="27.7265625" customWidth="1"/>
    <col min="11544" max="11544" width="19.1796875" customWidth="1"/>
    <col min="11545" max="11545" width="23.26953125" customWidth="1"/>
    <col min="11546" max="11546" width="20.7265625" customWidth="1"/>
    <col min="11547" max="11547" width="23.1796875" customWidth="1"/>
    <col min="11548" max="11548" width="24" customWidth="1"/>
    <col min="11549" max="11549" width="17" customWidth="1"/>
    <col min="11550" max="11550" width="8.81640625"/>
    <col min="11551" max="11551" width="16" customWidth="1"/>
    <col min="11552" max="11552" width="16.7265625" customWidth="1"/>
    <col min="11553" max="11553" width="13.26953125" customWidth="1"/>
    <col min="11554" max="11796" width="8.81640625"/>
    <col min="11797" max="11797" width="13.7265625" customWidth="1"/>
    <col min="11798" max="11798" width="14.26953125" customWidth="1"/>
    <col min="11799" max="11799" width="27.7265625" customWidth="1"/>
    <col min="11800" max="11800" width="19.1796875" customWidth="1"/>
    <col min="11801" max="11801" width="23.26953125" customWidth="1"/>
    <col min="11802" max="11802" width="20.7265625" customWidth="1"/>
    <col min="11803" max="11803" width="23.1796875" customWidth="1"/>
    <col min="11804" max="11804" width="24" customWidth="1"/>
    <col min="11805" max="11805" width="17" customWidth="1"/>
    <col min="11806" max="11806" width="8.81640625"/>
    <col min="11807" max="11807" width="16" customWidth="1"/>
    <col min="11808" max="11808" width="16.7265625" customWidth="1"/>
    <col min="11809" max="11809" width="13.26953125" customWidth="1"/>
    <col min="11810" max="12052" width="8.81640625"/>
    <col min="12053" max="12053" width="13.7265625" customWidth="1"/>
    <col min="12054" max="12054" width="14.26953125" customWidth="1"/>
    <col min="12055" max="12055" width="27.7265625" customWidth="1"/>
    <col min="12056" max="12056" width="19.1796875" customWidth="1"/>
    <col min="12057" max="12057" width="23.26953125" customWidth="1"/>
    <col min="12058" max="12058" width="20.7265625" customWidth="1"/>
    <col min="12059" max="12059" width="23.1796875" customWidth="1"/>
    <col min="12060" max="12060" width="24" customWidth="1"/>
    <col min="12061" max="12061" width="17" customWidth="1"/>
    <col min="12062" max="12062" width="8.81640625"/>
    <col min="12063" max="12063" width="16" customWidth="1"/>
    <col min="12064" max="12064" width="16.7265625" customWidth="1"/>
    <col min="12065" max="12065" width="13.26953125" customWidth="1"/>
    <col min="12066" max="12308" width="8.81640625"/>
    <col min="12309" max="12309" width="13.7265625" customWidth="1"/>
    <col min="12310" max="12310" width="14.26953125" customWidth="1"/>
    <col min="12311" max="12311" width="27.7265625" customWidth="1"/>
    <col min="12312" max="12312" width="19.1796875" customWidth="1"/>
    <col min="12313" max="12313" width="23.26953125" customWidth="1"/>
    <col min="12314" max="12314" width="20.7265625" customWidth="1"/>
    <col min="12315" max="12315" width="23.1796875" customWidth="1"/>
    <col min="12316" max="12316" width="24" customWidth="1"/>
    <col min="12317" max="12317" width="17" customWidth="1"/>
    <col min="12318" max="12318" width="8.81640625"/>
    <col min="12319" max="12319" width="16" customWidth="1"/>
    <col min="12320" max="12320" width="16.7265625" customWidth="1"/>
    <col min="12321" max="12321" width="13.26953125" customWidth="1"/>
    <col min="12322" max="12564" width="8.81640625"/>
    <col min="12565" max="12565" width="13.7265625" customWidth="1"/>
    <col min="12566" max="12566" width="14.26953125" customWidth="1"/>
    <col min="12567" max="12567" width="27.7265625" customWidth="1"/>
    <col min="12568" max="12568" width="19.1796875" customWidth="1"/>
    <col min="12569" max="12569" width="23.26953125" customWidth="1"/>
    <col min="12570" max="12570" width="20.7265625" customWidth="1"/>
    <col min="12571" max="12571" width="23.1796875" customWidth="1"/>
    <col min="12572" max="12572" width="24" customWidth="1"/>
    <col min="12573" max="12573" width="17" customWidth="1"/>
    <col min="12574" max="12574" width="8.81640625"/>
    <col min="12575" max="12575" width="16" customWidth="1"/>
    <col min="12576" max="12576" width="16.7265625" customWidth="1"/>
    <col min="12577" max="12577" width="13.26953125" customWidth="1"/>
    <col min="12578" max="12820" width="8.81640625"/>
    <col min="12821" max="12821" width="13.7265625" customWidth="1"/>
    <col min="12822" max="12822" width="14.26953125" customWidth="1"/>
    <col min="12823" max="12823" width="27.7265625" customWidth="1"/>
    <col min="12824" max="12824" width="19.1796875" customWidth="1"/>
    <col min="12825" max="12825" width="23.26953125" customWidth="1"/>
    <col min="12826" max="12826" width="20.7265625" customWidth="1"/>
    <col min="12827" max="12827" width="23.1796875" customWidth="1"/>
    <col min="12828" max="12828" width="24" customWidth="1"/>
    <col min="12829" max="12829" width="17" customWidth="1"/>
    <col min="12830" max="12830" width="8.81640625"/>
    <col min="12831" max="12831" width="16" customWidth="1"/>
    <col min="12832" max="12832" width="16.7265625" customWidth="1"/>
    <col min="12833" max="12833" width="13.26953125" customWidth="1"/>
    <col min="12834" max="13076" width="8.81640625"/>
    <col min="13077" max="13077" width="13.7265625" customWidth="1"/>
    <col min="13078" max="13078" width="14.26953125" customWidth="1"/>
    <col min="13079" max="13079" width="27.7265625" customWidth="1"/>
    <col min="13080" max="13080" width="19.1796875" customWidth="1"/>
    <col min="13081" max="13081" width="23.26953125" customWidth="1"/>
    <col min="13082" max="13082" width="20.7265625" customWidth="1"/>
    <col min="13083" max="13083" width="23.1796875" customWidth="1"/>
    <col min="13084" max="13084" width="24" customWidth="1"/>
    <col min="13085" max="13085" width="17" customWidth="1"/>
    <col min="13086" max="13086" width="8.81640625"/>
    <col min="13087" max="13087" width="16" customWidth="1"/>
    <col min="13088" max="13088" width="16.7265625" customWidth="1"/>
    <col min="13089" max="13089" width="13.26953125" customWidth="1"/>
    <col min="13090" max="13332" width="8.81640625"/>
    <col min="13333" max="13333" width="13.7265625" customWidth="1"/>
    <col min="13334" max="13334" width="14.26953125" customWidth="1"/>
    <col min="13335" max="13335" width="27.7265625" customWidth="1"/>
    <col min="13336" max="13336" width="19.1796875" customWidth="1"/>
    <col min="13337" max="13337" width="23.26953125" customWidth="1"/>
    <col min="13338" max="13338" width="20.7265625" customWidth="1"/>
    <col min="13339" max="13339" width="23.1796875" customWidth="1"/>
    <col min="13340" max="13340" width="24" customWidth="1"/>
    <col min="13341" max="13341" width="17" customWidth="1"/>
    <col min="13342" max="13342" width="8.81640625"/>
    <col min="13343" max="13343" width="16" customWidth="1"/>
    <col min="13344" max="13344" width="16.7265625" customWidth="1"/>
    <col min="13345" max="13345" width="13.26953125" customWidth="1"/>
    <col min="13346" max="13588" width="8.81640625"/>
    <col min="13589" max="13589" width="13.7265625" customWidth="1"/>
    <col min="13590" max="13590" width="14.26953125" customWidth="1"/>
    <col min="13591" max="13591" width="27.7265625" customWidth="1"/>
    <col min="13592" max="13592" width="19.1796875" customWidth="1"/>
    <col min="13593" max="13593" width="23.26953125" customWidth="1"/>
    <col min="13594" max="13594" width="20.7265625" customWidth="1"/>
    <col min="13595" max="13595" width="23.1796875" customWidth="1"/>
    <col min="13596" max="13596" width="24" customWidth="1"/>
    <col min="13597" max="13597" width="17" customWidth="1"/>
    <col min="13598" max="13598" width="8.81640625"/>
    <col min="13599" max="13599" width="16" customWidth="1"/>
    <col min="13600" max="13600" width="16.7265625" customWidth="1"/>
    <col min="13601" max="13601" width="13.26953125" customWidth="1"/>
    <col min="13602" max="13844" width="8.81640625"/>
    <col min="13845" max="13845" width="13.7265625" customWidth="1"/>
    <col min="13846" max="13846" width="14.26953125" customWidth="1"/>
    <col min="13847" max="13847" width="27.7265625" customWidth="1"/>
    <col min="13848" max="13848" width="19.1796875" customWidth="1"/>
    <col min="13849" max="13849" width="23.26953125" customWidth="1"/>
    <col min="13850" max="13850" width="20.7265625" customWidth="1"/>
    <col min="13851" max="13851" width="23.1796875" customWidth="1"/>
    <col min="13852" max="13852" width="24" customWidth="1"/>
    <col min="13853" max="13853" width="17" customWidth="1"/>
    <col min="13854" max="13854" width="8.81640625"/>
    <col min="13855" max="13855" width="16" customWidth="1"/>
    <col min="13856" max="13856" width="16.7265625" customWidth="1"/>
    <col min="13857" max="13857" width="13.26953125" customWidth="1"/>
    <col min="13858" max="14100" width="8.81640625"/>
    <col min="14101" max="14101" width="13.7265625" customWidth="1"/>
    <col min="14102" max="14102" width="14.26953125" customWidth="1"/>
    <col min="14103" max="14103" width="27.7265625" customWidth="1"/>
    <col min="14104" max="14104" width="19.1796875" customWidth="1"/>
    <col min="14105" max="14105" width="23.26953125" customWidth="1"/>
    <col min="14106" max="14106" width="20.7265625" customWidth="1"/>
    <col min="14107" max="14107" width="23.1796875" customWidth="1"/>
    <col min="14108" max="14108" width="24" customWidth="1"/>
    <col min="14109" max="14109" width="17" customWidth="1"/>
    <col min="14110" max="14110" width="8.81640625"/>
    <col min="14111" max="14111" width="16" customWidth="1"/>
    <col min="14112" max="14112" width="16.7265625" customWidth="1"/>
    <col min="14113" max="14113" width="13.26953125" customWidth="1"/>
    <col min="14114" max="14356" width="8.81640625"/>
    <col min="14357" max="14357" width="13.7265625" customWidth="1"/>
    <col min="14358" max="14358" width="14.26953125" customWidth="1"/>
    <col min="14359" max="14359" width="27.7265625" customWidth="1"/>
    <col min="14360" max="14360" width="19.1796875" customWidth="1"/>
    <col min="14361" max="14361" width="23.26953125" customWidth="1"/>
    <col min="14362" max="14362" width="20.7265625" customWidth="1"/>
    <col min="14363" max="14363" width="23.1796875" customWidth="1"/>
    <col min="14364" max="14364" width="24" customWidth="1"/>
    <col min="14365" max="14365" width="17" customWidth="1"/>
    <col min="14366" max="14366" width="8.81640625"/>
    <col min="14367" max="14367" width="16" customWidth="1"/>
    <col min="14368" max="14368" width="16.7265625" customWidth="1"/>
    <col min="14369" max="14369" width="13.26953125" customWidth="1"/>
    <col min="14370" max="14612" width="8.81640625"/>
    <col min="14613" max="14613" width="13.7265625" customWidth="1"/>
    <col min="14614" max="14614" width="14.26953125" customWidth="1"/>
    <col min="14615" max="14615" width="27.7265625" customWidth="1"/>
    <col min="14616" max="14616" width="19.1796875" customWidth="1"/>
    <col min="14617" max="14617" width="23.26953125" customWidth="1"/>
    <col min="14618" max="14618" width="20.7265625" customWidth="1"/>
    <col min="14619" max="14619" width="23.1796875" customWidth="1"/>
    <col min="14620" max="14620" width="24" customWidth="1"/>
    <col min="14621" max="14621" width="17" customWidth="1"/>
    <col min="14622" max="14622" width="8.81640625"/>
    <col min="14623" max="14623" width="16" customWidth="1"/>
    <col min="14624" max="14624" width="16.7265625" customWidth="1"/>
    <col min="14625" max="14625" width="13.26953125" customWidth="1"/>
    <col min="14626" max="14868" width="8.81640625"/>
    <col min="14869" max="14869" width="13.7265625" customWidth="1"/>
    <col min="14870" max="14870" width="14.26953125" customWidth="1"/>
    <col min="14871" max="14871" width="27.7265625" customWidth="1"/>
    <col min="14872" max="14872" width="19.1796875" customWidth="1"/>
    <col min="14873" max="14873" width="23.26953125" customWidth="1"/>
    <col min="14874" max="14874" width="20.7265625" customWidth="1"/>
    <col min="14875" max="14875" width="23.1796875" customWidth="1"/>
    <col min="14876" max="14876" width="24" customWidth="1"/>
    <col min="14877" max="14877" width="17" customWidth="1"/>
    <col min="14878" max="14878" width="8.81640625"/>
    <col min="14879" max="14879" width="16" customWidth="1"/>
    <col min="14880" max="14880" width="16.7265625" customWidth="1"/>
    <col min="14881" max="14881" width="13.26953125" customWidth="1"/>
    <col min="14882" max="15124" width="8.81640625"/>
    <col min="15125" max="15125" width="13.7265625" customWidth="1"/>
    <col min="15126" max="15126" width="14.26953125" customWidth="1"/>
    <col min="15127" max="15127" width="27.7265625" customWidth="1"/>
    <col min="15128" max="15128" width="19.1796875" customWidth="1"/>
    <col min="15129" max="15129" width="23.26953125" customWidth="1"/>
    <col min="15130" max="15130" width="20.7265625" customWidth="1"/>
    <col min="15131" max="15131" width="23.1796875" customWidth="1"/>
    <col min="15132" max="15132" width="24" customWidth="1"/>
    <col min="15133" max="15133" width="17" customWidth="1"/>
    <col min="15134" max="15134" width="8.81640625"/>
    <col min="15135" max="15135" width="16" customWidth="1"/>
    <col min="15136" max="15136" width="16.7265625" customWidth="1"/>
    <col min="15137" max="15137" width="13.26953125" customWidth="1"/>
    <col min="15138" max="15380" width="8.81640625"/>
    <col min="15381" max="15381" width="13.7265625" customWidth="1"/>
    <col min="15382" max="15382" width="14.26953125" customWidth="1"/>
    <col min="15383" max="15383" width="27.7265625" customWidth="1"/>
    <col min="15384" max="15384" width="19.1796875" customWidth="1"/>
    <col min="15385" max="15385" width="23.26953125" customWidth="1"/>
    <col min="15386" max="15386" width="20.7265625" customWidth="1"/>
    <col min="15387" max="15387" width="23.1796875" customWidth="1"/>
    <col min="15388" max="15388" width="24" customWidth="1"/>
    <col min="15389" max="15389" width="17" customWidth="1"/>
    <col min="15390" max="15390" width="8.81640625"/>
    <col min="15391" max="15391" width="16" customWidth="1"/>
    <col min="15392" max="15392" width="16.7265625" customWidth="1"/>
    <col min="15393" max="15393" width="13.26953125" customWidth="1"/>
    <col min="15394" max="15636" width="8.81640625"/>
    <col min="15637" max="15637" width="13.7265625" customWidth="1"/>
    <col min="15638" max="15638" width="14.26953125" customWidth="1"/>
    <col min="15639" max="15639" width="27.7265625" customWidth="1"/>
    <col min="15640" max="15640" width="19.1796875" customWidth="1"/>
    <col min="15641" max="15641" width="23.26953125" customWidth="1"/>
    <col min="15642" max="15642" width="20.7265625" customWidth="1"/>
    <col min="15643" max="15643" width="23.1796875" customWidth="1"/>
    <col min="15644" max="15644" width="24" customWidth="1"/>
    <col min="15645" max="15645" width="17" customWidth="1"/>
    <col min="15646" max="15646" width="8.81640625"/>
    <col min="15647" max="15647" width="16" customWidth="1"/>
    <col min="15648" max="15648" width="16.7265625" customWidth="1"/>
    <col min="15649" max="15649" width="13.26953125" customWidth="1"/>
    <col min="15650" max="15892" width="8.81640625"/>
    <col min="15893" max="15893" width="13.7265625" customWidth="1"/>
    <col min="15894" max="15894" width="14.26953125" customWidth="1"/>
    <col min="15895" max="15895" width="27.7265625" customWidth="1"/>
    <col min="15896" max="15896" width="19.1796875" customWidth="1"/>
    <col min="15897" max="15897" width="23.26953125" customWidth="1"/>
    <col min="15898" max="15898" width="20.7265625" customWidth="1"/>
    <col min="15899" max="15899" width="23.1796875" customWidth="1"/>
    <col min="15900" max="15900" width="24" customWidth="1"/>
    <col min="15901" max="15901" width="17" customWidth="1"/>
    <col min="15902" max="15902" width="8.81640625"/>
    <col min="15903" max="15903" width="16" customWidth="1"/>
    <col min="15904" max="15904" width="16.7265625" customWidth="1"/>
    <col min="15905" max="15905" width="13.26953125" customWidth="1"/>
    <col min="15906" max="16148" width="8.81640625"/>
    <col min="16149" max="16149" width="13.7265625" customWidth="1"/>
    <col min="16150" max="16150" width="14.26953125" customWidth="1"/>
    <col min="16151" max="16151" width="27.7265625" customWidth="1"/>
    <col min="16152" max="16152" width="19.1796875" customWidth="1"/>
    <col min="16153" max="16153" width="23.26953125" customWidth="1"/>
    <col min="16154" max="16154" width="20.7265625" customWidth="1"/>
    <col min="16155" max="16155" width="23.1796875" customWidth="1"/>
    <col min="16156" max="16156" width="24" customWidth="1"/>
    <col min="16157" max="16157" width="17" customWidth="1"/>
    <col min="16158" max="16158" width="8.81640625"/>
    <col min="16159" max="16159" width="16" customWidth="1"/>
    <col min="16160" max="16160" width="16.7265625" customWidth="1"/>
    <col min="16161" max="16161" width="13.26953125" customWidth="1"/>
    <col min="16162" max="16384" width="8.81640625"/>
  </cols>
  <sheetData>
    <row r="1" spans="1:40" x14ac:dyDescent="0.35">
      <c r="A1" s="1" t="str">
        <f ca="1">MID(CELL("filename",A1),FIND("]",CELL("filename",A1))+1,255)</f>
        <v>Exogenous Costs</v>
      </c>
    </row>
    <row r="2" spans="1:40" x14ac:dyDescent="0.35">
      <c r="A2" s="1" t="s">
        <v>158</v>
      </c>
    </row>
    <row r="3" spans="1:40" x14ac:dyDescent="0.35">
      <c r="A3" s="1" t="s">
        <v>12</v>
      </c>
    </row>
    <row r="4" spans="1:40" x14ac:dyDescent="0.35">
      <c r="A4" s="1" t="s">
        <v>13</v>
      </c>
    </row>
    <row r="5" spans="1:40" x14ac:dyDescent="0.35">
      <c r="A5" s="5"/>
      <c r="O5" s="6"/>
    </row>
    <row r="6" spans="1:40" x14ac:dyDescent="0.35">
      <c r="A6" s="5"/>
      <c r="O6" s="6"/>
    </row>
    <row r="7" spans="1:40" ht="16" thickBot="1" x14ac:dyDescent="0.4">
      <c r="A7" s="5"/>
      <c r="O7" s="6"/>
    </row>
    <row r="8" spans="1:40" ht="49.5" customHeight="1" thickBot="1" x14ac:dyDescent="0.4">
      <c r="A8" s="242" t="s">
        <v>139</v>
      </c>
      <c r="B8" s="243"/>
      <c r="C8" s="243"/>
      <c r="D8" s="242" t="s">
        <v>167</v>
      </c>
      <c r="E8" s="243"/>
      <c r="F8" s="244"/>
      <c r="G8" s="84"/>
      <c r="H8" s="84"/>
    </row>
    <row r="9" spans="1:40" ht="38.25" customHeight="1" x14ac:dyDescent="0.35">
      <c r="A9" s="217" t="s">
        <v>14</v>
      </c>
      <c r="B9" s="81" t="s">
        <v>15</v>
      </c>
      <c r="C9" s="83" t="s">
        <v>16</v>
      </c>
      <c r="D9" s="217" t="s">
        <v>14</v>
      </c>
      <c r="E9" s="81" t="s">
        <v>15</v>
      </c>
      <c r="F9" s="82" t="s">
        <v>16</v>
      </c>
      <c r="G9" s="85"/>
      <c r="H9" s="85"/>
      <c r="J9" s="16"/>
      <c r="K9" s="16"/>
      <c r="L9" s="16"/>
      <c r="M9" s="16"/>
      <c r="N9" s="16"/>
    </row>
    <row r="10" spans="1:40" ht="14.5" x14ac:dyDescent="0.35">
      <c r="A10" s="51" t="s">
        <v>17</v>
      </c>
      <c r="B10" s="221"/>
      <c r="C10" s="222"/>
      <c r="D10" s="51" t="s">
        <v>17</v>
      </c>
      <c r="E10" s="221"/>
      <c r="F10" s="222"/>
      <c r="G10" s="86"/>
      <c r="H10" s="86"/>
      <c r="I10"/>
      <c r="J10" s="70"/>
      <c r="K10" s="70"/>
      <c r="L10" s="70"/>
      <c r="M10" s="70"/>
      <c r="N10" s="70"/>
      <c r="O10" s="70"/>
    </row>
    <row r="11" spans="1:40" ht="14.5" x14ac:dyDescent="0.35">
      <c r="A11" s="51" t="s">
        <v>18</v>
      </c>
      <c r="B11" s="223"/>
      <c r="C11" s="222"/>
      <c r="D11" s="51" t="s">
        <v>18</v>
      </c>
      <c r="E11" s="223"/>
      <c r="F11" s="222"/>
      <c r="G11" s="86"/>
      <c r="H11" s="86"/>
      <c r="I11"/>
      <c r="J11" s="70"/>
      <c r="K11" s="70"/>
      <c r="L11" s="70"/>
      <c r="M11" s="70"/>
      <c r="N11" s="70"/>
      <c r="O11" s="70"/>
    </row>
    <row r="12" spans="1:40" ht="14.5" x14ac:dyDescent="0.35">
      <c r="A12" s="51" t="s">
        <v>19</v>
      </c>
      <c r="B12" s="221"/>
      <c r="C12" s="222"/>
      <c r="D12" s="51" t="s">
        <v>19</v>
      </c>
      <c r="E12" s="221"/>
      <c r="F12" s="222"/>
      <c r="G12" s="86"/>
      <c r="H12" s="86"/>
      <c r="I12" s="63"/>
      <c r="J12"/>
      <c r="K12"/>
      <c r="L12"/>
      <c r="M12"/>
      <c r="N12"/>
    </row>
    <row r="13" spans="1:40" ht="15" thickBot="1" x14ac:dyDescent="0.4">
      <c r="A13" s="218" t="s">
        <v>20</v>
      </c>
      <c r="B13" s="224"/>
      <c r="C13" s="225"/>
      <c r="D13" s="218" t="s">
        <v>20</v>
      </c>
      <c r="E13" s="224"/>
      <c r="F13" s="225"/>
      <c r="G13" s="86"/>
      <c r="H13" s="86"/>
      <c r="I13" s="63"/>
      <c r="J13"/>
      <c r="K13"/>
      <c r="L13"/>
      <c r="M13"/>
      <c r="N13"/>
    </row>
    <row r="14" spans="1:40" ht="15.75" customHeight="1" x14ac:dyDescent="0.3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</row>
    <row r="15" spans="1:40" ht="15.75" customHeight="1" x14ac:dyDescent="0.35">
      <c r="A15"/>
      <c r="B15"/>
    </row>
    <row r="16" spans="1:40" ht="16" thickBot="1" x14ac:dyDescent="0.4">
      <c r="A16"/>
      <c r="B16"/>
      <c r="Q16" s="8"/>
      <c r="R16" s="133"/>
      <c r="S16" s="8"/>
      <c r="T16" s="131"/>
      <c r="U16" s="131"/>
      <c r="V16" s="131"/>
      <c r="W16" s="131"/>
      <c r="X16" s="131"/>
      <c r="Y16" s="131"/>
      <c r="Z16" s="8"/>
      <c r="AA16" s="8"/>
      <c r="AB16" s="131"/>
      <c r="AC16" s="131"/>
      <c r="AD16" s="131"/>
      <c r="AE16" s="131"/>
      <c r="AF16" s="131"/>
      <c r="AI16" s="101"/>
      <c r="AJ16" s="101"/>
      <c r="AN16" s="8"/>
    </row>
    <row r="17" spans="1:37" ht="60.75" customHeight="1" thickBot="1" x14ac:dyDescent="0.4">
      <c r="A17" s="128"/>
      <c r="B17" s="63"/>
      <c r="C17" s="63"/>
      <c r="D17" s="63"/>
      <c r="E17" s="248" t="s">
        <v>168</v>
      </c>
      <c r="F17" s="249"/>
      <c r="G17" s="249"/>
      <c r="H17" s="249"/>
      <c r="I17" s="249"/>
      <c r="J17" s="249"/>
      <c r="K17" s="249"/>
      <c r="L17" s="249"/>
      <c r="M17" s="250"/>
      <c r="N17" s="226" t="s">
        <v>169</v>
      </c>
      <c r="O17" s="245"/>
      <c r="P17" s="246"/>
      <c r="Q17" s="247"/>
      <c r="R17" s="197"/>
      <c r="S17" s="251" t="s">
        <v>170</v>
      </c>
      <c r="T17" s="252"/>
      <c r="U17" s="252"/>
      <c r="V17" s="252"/>
      <c r="W17" s="252"/>
      <c r="X17" s="252"/>
      <c r="Y17" s="252"/>
      <c r="Z17" s="252"/>
      <c r="AA17" s="239" t="s">
        <v>171</v>
      </c>
      <c r="AB17" s="240"/>
      <c r="AC17" s="240"/>
      <c r="AD17" s="240"/>
      <c r="AE17" s="240"/>
      <c r="AF17" s="240"/>
      <c r="AG17" s="240"/>
      <c r="AH17" s="241"/>
      <c r="AI17" s="114"/>
      <c r="AJ17" s="115"/>
      <c r="AK17" s="113"/>
    </row>
    <row r="18" spans="1:37" ht="210.75" customHeight="1" x14ac:dyDescent="0.35">
      <c r="A18" s="168" t="s">
        <v>21</v>
      </c>
      <c r="B18" s="67" t="s">
        <v>22</v>
      </c>
      <c r="C18" s="4" t="s">
        <v>23</v>
      </c>
      <c r="D18" s="55" t="s">
        <v>24</v>
      </c>
      <c r="E18" s="2" t="s">
        <v>25</v>
      </c>
      <c r="F18" s="4" t="s">
        <v>26</v>
      </c>
      <c r="G18" s="4" t="s">
        <v>27</v>
      </c>
      <c r="H18" s="4" t="s">
        <v>28</v>
      </c>
      <c r="I18" s="4" t="s">
        <v>29</v>
      </c>
      <c r="J18" s="4" t="s">
        <v>30</v>
      </c>
      <c r="K18" s="67" t="s">
        <v>130</v>
      </c>
      <c r="L18" s="4" t="s">
        <v>31</v>
      </c>
      <c r="M18" s="55" t="s">
        <v>32</v>
      </c>
      <c r="N18" s="198" t="s">
        <v>33</v>
      </c>
      <c r="O18" s="2" t="s">
        <v>34</v>
      </c>
      <c r="P18" s="4" t="s">
        <v>35</v>
      </c>
      <c r="Q18" s="55" t="s">
        <v>36</v>
      </c>
      <c r="R18" s="198" t="s">
        <v>172</v>
      </c>
      <c r="S18" s="2" t="s">
        <v>173</v>
      </c>
      <c r="T18" s="4" t="s">
        <v>37</v>
      </c>
      <c r="U18" s="105" t="s">
        <v>39</v>
      </c>
      <c r="V18" s="105" t="s">
        <v>40</v>
      </c>
      <c r="W18" s="105" t="s">
        <v>135</v>
      </c>
      <c r="X18" s="4" t="s">
        <v>38</v>
      </c>
      <c r="Y18" s="4" t="s">
        <v>161</v>
      </c>
      <c r="Z18" s="55" t="s">
        <v>174</v>
      </c>
      <c r="AA18" s="2" t="s">
        <v>175</v>
      </c>
      <c r="AB18" s="4" t="s">
        <v>37</v>
      </c>
      <c r="AC18" s="105" t="s">
        <v>39</v>
      </c>
      <c r="AD18" s="105" t="s">
        <v>40</v>
      </c>
      <c r="AE18" s="105" t="s">
        <v>135</v>
      </c>
      <c r="AF18" s="105" t="s">
        <v>38</v>
      </c>
      <c r="AG18" s="105" t="s">
        <v>176</v>
      </c>
      <c r="AH18" s="227" t="s">
        <v>177</v>
      </c>
      <c r="AI18" s="120" t="s">
        <v>144</v>
      </c>
      <c r="AJ18" s="111" t="s">
        <v>41</v>
      </c>
      <c r="AK18" s="119"/>
    </row>
    <row r="19" spans="1:37" ht="14.5" x14ac:dyDescent="0.35">
      <c r="A19" s="199"/>
      <c r="B19" s="200"/>
      <c r="C19" s="200"/>
      <c r="D19" s="201"/>
      <c r="E19" s="68" t="str">
        <f t="shared" ref="E19" si="0">"Col "&amp;COLUMN(E19)-4</f>
        <v>Col 1</v>
      </c>
      <c r="F19" s="15" t="str">
        <f t="shared" ref="F19:AJ19" si="1">"Col "&amp;COLUMN(F19)-4</f>
        <v>Col 2</v>
      </c>
      <c r="G19" s="15" t="str">
        <f t="shared" si="1"/>
        <v>Col 3</v>
      </c>
      <c r="H19" s="15" t="str">
        <f t="shared" si="1"/>
        <v>Col 4</v>
      </c>
      <c r="I19" s="15" t="str">
        <f t="shared" si="1"/>
        <v>Col 5</v>
      </c>
      <c r="J19" s="15" t="str">
        <f t="shared" si="1"/>
        <v>Col 6</v>
      </c>
      <c r="K19" s="15" t="str">
        <f t="shared" si="1"/>
        <v>Col 7</v>
      </c>
      <c r="L19" s="15" t="str">
        <f t="shared" si="1"/>
        <v>Col 8</v>
      </c>
      <c r="M19" s="106" t="str">
        <f t="shared" si="1"/>
        <v>Col 9</v>
      </c>
      <c r="N19" s="202" t="str">
        <f t="shared" si="1"/>
        <v>Col 10</v>
      </c>
      <c r="O19" s="68" t="str">
        <f t="shared" si="1"/>
        <v>Col 11</v>
      </c>
      <c r="P19" s="15" t="str">
        <f t="shared" si="1"/>
        <v>Col 12</v>
      </c>
      <c r="Q19" s="106" t="str">
        <f t="shared" si="1"/>
        <v>Col 13</v>
      </c>
      <c r="R19" s="202" t="str">
        <f t="shared" si="1"/>
        <v>Col 14</v>
      </c>
      <c r="S19" s="68" t="str">
        <f t="shared" si="1"/>
        <v>Col 15</v>
      </c>
      <c r="T19" s="15" t="str">
        <f t="shared" si="1"/>
        <v>Col 16</v>
      </c>
      <c r="U19" s="15" t="str">
        <f t="shared" si="1"/>
        <v>Col 17</v>
      </c>
      <c r="V19" s="15" t="str">
        <f t="shared" si="1"/>
        <v>Col 18</v>
      </c>
      <c r="W19" s="15" t="str">
        <f t="shared" si="1"/>
        <v>Col 19</v>
      </c>
      <c r="X19" s="15" t="str">
        <f t="shared" si="1"/>
        <v>Col 20</v>
      </c>
      <c r="Y19" s="15" t="str">
        <f t="shared" si="1"/>
        <v>Col 21</v>
      </c>
      <c r="Z19" s="106" t="str">
        <f t="shared" si="1"/>
        <v>Col 22</v>
      </c>
      <c r="AA19" s="68" t="str">
        <f t="shared" si="1"/>
        <v>Col 23</v>
      </c>
      <c r="AB19" s="15" t="str">
        <f t="shared" si="1"/>
        <v>Col 24</v>
      </c>
      <c r="AC19" s="15" t="str">
        <f t="shared" si="1"/>
        <v>Col 25</v>
      </c>
      <c r="AD19" s="15" t="str">
        <f t="shared" si="1"/>
        <v>Col 26</v>
      </c>
      <c r="AE19" s="15" t="str">
        <f t="shared" si="1"/>
        <v>Col 27</v>
      </c>
      <c r="AF19" s="15" t="str">
        <f t="shared" si="1"/>
        <v>Col 28</v>
      </c>
      <c r="AG19" s="15" t="str">
        <f t="shared" si="1"/>
        <v>Col 29</v>
      </c>
      <c r="AH19" s="106" t="str">
        <f>"Col "&amp;COLUMN(AH19)-4</f>
        <v>Col 30</v>
      </c>
      <c r="AI19" s="68" t="str">
        <f t="shared" si="1"/>
        <v>Col 31</v>
      </c>
      <c r="AJ19" s="203" t="str">
        <f t="shared" si="1"/>
        <v>Col 32</v>
      </c>
    </row>
    <row r="20" spans="1:37" ht="217.5" customHeight="1" x14ac:dyDescent="0.35">
      <c r="A20" s="157" t="s">
        <v>42</v>
      </c>
      <c r="B20" s="158" t="s">
        <v>42</v>
      </c>
      <c r="C20" s="158" t="s">
        <v>42</v>
      </c>
      <c r="D20" s="159" t="s">
        <v>42</v>
      </c>
      <c r="E20" s="92" t="s">
        <v>42</v>
      </c>
      <c r="F20" s="123" t="s">
        <v>42</v>
      </c>
      <c r="G20" s="123" t="s">
        <v>42</v>
      </c>
      <c r="H20" s="123" t="s">
        <v>42</v>
      </c>
      <c r="I20" s="123" t="s">
        <v>42</v>
      </c>
      <c r="J20" s="123" t="s">
        <v>42</v>
      </c>
      <c r="K20" s="123" t="s">
        <v>42</v>
      </c>
      <c r="L20" s="123" t="s">
        <v>42</v>
      </c>
      <c r="M20" s="93" t="s">
        <v>42</v>
      </c>
      <c r="N20" s="204" t="s">
        <v>42</v>
      </c>
      <c r="O20" s="92" t="str">
        <f>E19&amp;" / ("&amp;I19&amp;" - "&amp;E19&amp;")"</f>
        <v>Col 1 / (Col 5 - Col 1)</v>
      </c>
      <c r="P20" s="123" t="str">
        <f>F19&amp;" x (1 + "&amp;O19&amp;")"</f>
        <v>Col 2 x (1 + Col 11)</v>
      </c>
      <c r="Q20" s="93" t="str">
        <f>P19&amp;" / "&amp;I19</f>
        <v>Col 12 / Col 5</v>
      </c>
      <c r="R20" s="204" t="s">
        <v>42</v>
      </c>
      <c r="S20" s="68" t="s">
        <v>132</v>
      </c>
      <c r="T20" s="108" t="str">
        <f>CONCATENATE(" (",$G$19," + ",$I$19," + ",$J$19," - ",$N$19,") x 2022 Reg Fee Factor.  If EC is exempt or result is less than $1,000, Reg Fee = $0")</f>
        <v xml:space="preserve"> (Col 3 + Col 5 + Col 6 - Col 10) x 2022 Reg Fee Factor.  If EC is exempt or result is less than $1,000, Reg Fee = $0</v>
      </c>
      <c r="U20" s="108" t="str">
        <f>CONCATENATE(L19," x 2022 IP TRS Factor")</f>
        <v>Col 8 x 2022 IP TRS Factor</v>
      </c>
      <c r="V20" s="15" t="str">
        <f>CONCATENATE(M19," x 2022 TRS Factor")</f>
        <v>Col 9 x 2022 TRS Factor</v>
      </c>
      <c r="W20" s="123" t="str">
        <f>CONCATENATE("If ",H19," greater than $0, maximum value of sum of ",U19," + ",V19,", and $25. If ",H19," = $0, Total TRS Fee = $0")</f>
        <v>If Col 4 greater than $0, maximum value of sum of Col 17 + Col 18, and $25. If Col 4 = $0, Total TRS Fee = $0</v>
      </c>
      <c r="X20" s="15" t="str">
        <f>CONCATENATE("Maximum value of (",H19," + ",G19," - ",K19,") x 2022 NANPA Factor and $25")</f>
        <v>Maximum value of (Col 4 + Col 3 - Col 7) x 2022 NANPA Factor and $25</v>
      </c>
      <c r="Y20" s="15" t="str">
        <f>CONCATENATE(T19," + ",W19," + ",X19)</f>
        <v>Col 16 + Col 19 + Col 20</v>
      </c>
      <c r="Z20" s="106" t="str">
        <f>CONCATENATE(Y19," x ",Q19," x ",R19)</f>
        <v>Col 21 x Col 13 x Col 14</v>
      </c>
      <c r="AA20" s="68" t="s">
        <v>132</v>
      </c>
      <c r="AB20" s="108" t="str">
        <f>CONCATENATE("(",$G$19," + ",$I$19," + ",$J$19," - ",$N$19,") x 2023 Reg Fee Factor.  If EC is exempt or result is less than $1,000, Reg Fee = $0")</f>
        <v>(Col 3 + Col 5 + Col 6 - Col 10) x 2023 Reg Fee Factor.  If EC is exempt or result is less than $1,000, Reg Fee = $0</v>
      </c>
      <c r="AC20" s="108" t="str">
        <f>CONCATENATE(L19," x 2023 IP TRS Factor")</f>
        <v>Col 8 x 2023 IP TRS Factor</v>
      </c>
      <c r="AD20" s="108" t="str">
        <f>CONCATENATE(M19," x 2023 Other TRS Factor")</f>
        <v>Col 9 x 2023 Other TRS Factor</v>
      </c>
      <c r="AE20" s="108" t="str">
        <f>CONCATENATE("If ",H19," greater than $0, maximum value of sum of ",AC19," + ",AD19,", and $25")</f>
        <v>If Col 4 greater than $0, maximum value of sum of Col 25 + Col 26, and $25</v>
      </c>
      <c r="AF20" s="104" t="str">
        <f>CONCATENATE("Maximum value of (",H19," + ",G19," - ",K19,") x 2023 NANPA Factor and $25")</f>
        <v>Maximum value of (Col 4 + Col 3 - Col 7) x 2023 NANPA Factor and $25</v>
      </c>
      <c r="AG20" s="104" t="str">
        <f>CONCATENATE(AB19," + ",AE19," + ",AF19)</f>
        <v>Col 24 + Col 27 + Col 28</v>
      </c>
      <c r="AH20" s="112" t="str">
        <f>CONCATENATE(AG19," x ",Q19," x ",R19)</f>
        <v>Col 29 x Col 13 x Col 14</v>
      </c>
      <c r="AI20" s="121" t="str">
        <f>CONCATENATE("(3/9) x (",AE19," - ",W19,") x ",Q19," x ",R19," for Mid-course filing, $0 for annual filing")</f>
        <v>(3/9) x (Col 27 - Col 19) x Col 13 x Col 14 for Mid-course filing, $0 for annual filing</v>
      </c>
      <c r="AJ20" s="205" t="str">
        <f>CONCATENATE(AH19," + ",AI19," - ",Z19)</f>
        <v>Col 30 + Col 31 - Col 22</v>
      </c>
    </row>
    <row r="21" spans="1:37" ht="15" thickBot="1" x14ac:dyDescent="0.4">
      <c r="A21" s="206" t="s">
        <v>43</v>
      </c>
      <c r="B21" s="207" t="s">
        <v>43</v>
      </c>
      <c r="C21" s="208" t="s">
        <v>44</v>
      </c>
      <c r="D21" s="209" t="s">
        <v>133</v>
      </c>
      <c r="E21" s="210"/>
      <c r="F21" s="72"/>
      <c r="G21" s="72"/>
      <c r="H21" s="72"/>
      <c r="I21" s="72"/>
      <c r="J21" s="72"/>
      <c r="K21" s="72"/>
      <c r="L21" s="72"/>
      <c r="M21" s="139"/>
      <c r="N21" s="211"/>
      <c r="O21" s="94" t="str">
        <f>IFERROR(ROUND(E21/(I21-E21),6),"NA")</f>
        <v>NA</v>
      </c>
      <c r="P21" s="57" t="str">
        <f>IFERROR(F21*(1+O21),"NA")</f>
        <v>NA</v>
      </c>
      <c r="Q21" s="95">
        <f>IFERROR(ROUND((P21/I21),6),0)</f>
        <v>0</v>
      </c>
      <c r="R21" s="212"/>
      <c r="S21" s="107">
        <v>1</v>
      </c>
      <c r="T21" s="72">
        <f t="shared" ref="T21" si="2">IFERROR(IF(SUM(G21,I21,J21,-N21)*$B$10*S21&lt;=1000,0,SUM(G21,I21,J21,-N21)*$B$10*S21),"NA")</f>
        <v>0</v>
      </c>
      <c r="U21" s="72">
        <f t="shared" ref="U21" si="3">IFERROR(L21*$B$13,"NA")</f>
        <v>0</v>
      </c>
      <c r="V21" s="72">
        <f t="shared" ref="V21" si="4">IFERROR(M21*$B$12,"NA")</f>
        <v>0</v>
      </c>
      <c r="W21" s="72">
        <f t="shared" ref="W21" si="5">IFERROR(IF(H21&gt;0,MAX(SUM(U21:V21),25),0),"NA")</f>
        <v>0</v>
      </c>
      <c r="X21" s="72">
        <f t="shared" ref="X21" si="6">IFERROR(MAX(SUM(H21+G21-K21)*$B$11,25),"NA")</f>
        <v>25</v>
      </c>
      <c r="Y21" s="72">
        <f>IFERROR(SUM(T21,W21,X21),"NA")</f>
        <v>25</v>
      </c>
      <c r="Z21" s="139">
        <f>IFERROR(Y21*Q21*R21,"NA")</f>
        <v>0</v>
      </c>
      <c r="AA21" s="107">
        <v>1</v>
      </c>
      <c r="AB21" s="72">
        <f t="shared" ref="AB21" si="7">IFERROR(IF(SUM(G21,I21,J21,-N21)*$E$10*AA21&lt;=1000,0,SUM(G21,I21,J21,-N21)*$E$10*AA21),"NA")</f>
        <v>0</v>
      </c>
      <c r="AC21" s="72">
        <f t="shared" ref="AC21" si="8">IFERROR(L21*$E$13,"NA")</f>
        <v>0</v>
      </c>
      <c r="AD21" s="57">
        <f t="shared" ref="AD21" si="9">IFERROR(M21*$E$12,"NA")</f>
        <v>0</v>
      </c>
      <c r="AE21" s="57">
        <f>IFERROR(IF(H21&gt;0,MAX(SUM(AC21:AD21),25),0),"NA")</f>
        <v>0</v>
      </c>
      <c r="AF21" s="57">
        <f t="shared" ref="AF21" si="10">IFERROR(MAX(SUM(H21+G21-K21)*$E$11,25),"NA")</f>
        <v>25</v>
      </c>
      <c r="AG21" s="57">
        <f>IFERROR(SUM(AB21,AE21,AF21),"NA")</f>
        <v>25</v>
      </c>
      <c r="AH21" s="71">
        <f>IFERROR(AG21*Q21*R21,"NA")</f>
        <v>0</v>
      </c>
      <c r="AI21" s="122">
        <v>0</v>
      </c>
      <c r="AJ21" s="109">
        <f>IFERROR(ROUND(AH21+AI21-Z21,2),"NA")</f>
        <v>0</v>
      </c>
    </row>
    <row r="22" spans="1:37" x14ac:dyDescent="0.35">
      <c r="A22"/>
      <c r="B22"/>
      <c r="C22"/>
      <c r="D22" s="7"/>
      <c r="E22" s="7"/>
      <c r="F22" s="7"/>
      <c r="G22" s="7"/>
      <c r="H22" s="7"/>
      <c r="I22"/>
      <c r="J22"/>
      <c r="K22"/>
      <c r="L22"/>
      <c r="M22"/>
      <c r="N22"/>
      <c r="AI22" s="110"/>
      <c r="AJ22" s="110"/>
    </row>
    <row r="23" spans="1:37" x14ac:dyDescent="0.35">
      <c r="A23" s="86" t="s">
        <v>45</v>
      </c>
      <c r="K23" s="88"/>
    </row>
    <row r="24" spans="1:37" x14ac:dyDescent="0.35">
      <c r="A24" s="86" t="s">
        <v>131</v>
      </c>
    </row>
  </sheetData>
  <mergeCells count="6">
    <mergeCell ref="AA17:AH17"/>
    <mergeCell ref="A8:C8"/>
    <mergeCell ref="D8:F8"/>
    <mergeCell ref="O17:Q17"/>
    <mergeCell ref="E17:M17"/>
    <mergeCell ref="S17:Z17"/>
  </mergeCells>
  <phoneticPr fontId="26" type="noConversion"/>
  <dataValidations count="1">
    <dataValidation type="list" allowBlank="1" showInputMessage="1" showErrorMessage="1" sqref="AA21 S21" xr:uid="{5307CB89-7616-4E99-A4C6-74AC9491E152}">
      <formula1>"1,0"</formula1>
    </dataValidation>
  </dataValidations>
  <pageMargins left="0.25" right="0.25" top="0.75" bottom="0.75" header="0.3" footer="0.3"/>
  <pageSetup paperSize="5" scale="39" fitToWidth="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22"/>
  <sheetViews>
    <sheetView tabSelected="1" topLeftCell="H13" zoomScale="80" zoomScaleNormal="80" workbookViewId="0">
      <selection activeCell="S16" sqref="S16"/>
    </sheetView>
  </sheetViews>
  <sheetFormatPr defaultRowHeight="14.5" x14ac:dyDescent="0.35"/>
  <cols>
    <col min="1" max="2" width="17.7265625" customWidth="1"/>
    <col min="4" max="4" width="23" bestFit="1" customWidth="1"/>
    <col min="5" max="16" width="17.7265625" customWidth="1"/>
    <col min="17" max="17" width="19.81640625" customWidth="1"/>
    <col min="18" max="18" width="1.453125" customWidth="1"/>
    <col min="19" max="19" width="21.26953125" customWidth="1"/>
    <col min="20" max="44" width="17.7265625" customWidth="1"/>
  </cols>
  <sheetData>
    <row r="1" spans="1:23" ht="15" customHeight="1" x14ac:dyDescent="0.35">
      <c r="A1" s="1" t="str">
        <f ca="1">MID(CELL("filename",A1),FIND("]",CELL("filename",A1))+1,255)</f>
        <v>Factor Dev</v>
      </c>
    </row>
    <row r="2" spans="1:23" x14ac:dyDescent="0.35">
      <c r="A2" s="1" t="str">
        <f>'Exogenous Costs'!A2</f>
        <v xml:space="preserve">Filing Date:  </v>
      </c>
    </row>
    <row r="3" spans="1:23" x14ac:dyDescent="0.35">
      <c r="A3" s="1" t="str">
        <f>'Exogenous Costs'!A3</f>
        <v xml:space="preserve">Filing Entity:  </v>
      </c>
      <c r="P3" s="136"/>
    </row>
    <row r="4" spans="1:23" x14ac:dyDescent="0.35">
      <c r="A4" s="1" t="str">
        <f>'Exogenous Costs'!A4</f>
        <v xml:space="preserve">Transmittal Number:  </v>
      </c>
      <c r="D4" s="3"/>
      <c r="P4" s="136"/>
      <c r="S4" s="3"/>
      <c r="T4" s="3"/>
    </row>
    <row r="5" spans="1:23" x14ac:dyDescent="0.35">
      <c r="A5" s="5"/>
      <c r="P5" s="136"/>
    </row>
    <row r="6" spans="1:23" x14ac:dyDescent="0.35">
      <c r="A6" s="147"/>
      <c r="B6" s="148"/>
      <c r="C6" s="254" t="s">
        <v>46</v>
      </c>
      <c r="D6" s="254"/>
      <c r="E6" s="148"/>
      <c r="F6" s="148"/>
      <c r="G6" s="149"/>
      <c r="P6" s="136"/>
    </row>
    <row r="7" spans="1:23" x14ac:dyDescent="0.35">
      <c r="A7" s="150"/>
      <c r="B7" s="20"/>
      <c r="C7" s="59" t="s">
        <v>190</v>
      </c>
      <c r="D7" s="59"/>
      <c r="E7" s="48"/>
      <c r="F7" s="48"/>
      <c r="G7" s="151"/>
      <c r="H7" s="48"/>
      <c r="P7" s="136"/>
      <c r="Q7" s="50"/>
      <c r="R7" s="50"/>
    </row>
    <row r="8" spans="1:23" x14ac:dyDescent="0.35">
      <c r="A8" s="229" t="s">
        <v>162</v>
      </c>
      <c r="B8" s="230">
        <v>121.331</v>
      </c>
      <c r="C8" s="74" t="s">
        <v>187</v>
      </c>
      <c r="D8" s="13"/>
      <c r="E8" s="13"/>
      <c r="F8" s="13"/>
      <c r="G8" s="231"/>
      <c r="O8" s="49"/>
      <c r="P8" s="136"/>
      <c r="Q8" s="50"/>
      <c r="R8" s="50"/>
    </row>
    <row r="9" spans="1:23" x14ac:dyDescent="0.35">
      <c r="A9" s="232" t="s">
        <v>188</v>
      </c>
      <c r="B9" s="233">
        <v>129.50200000000001</v>
      </c>
      <c r="C9" s="234" t="s">
        <v>189</v>
      </c>
      <c r="D9" s="235"/>
      <c r="E9" s="235"/>
      <c r="F9" s="235"/>
      <c r="G9" s="236"/>
      <c r="Q9" s="50"/>
      <c r="R9" s="50"/>
    </row>
    <row r="10" spans="1:23" x14ac:dyDescent="0.35">
      <c r="A10" s="5"/>
      <c r="N10" s="138"/>
      <c r="P10" s="135"/>
    </row>
    <row r="11" spans="1:23" x14ac:dyDescent="0.35">
      <c r="A11" s="5"/>
      <c r="G11" s="253"/>
      <c r="H11" s="253"/>
      <c r="K11" s="13"/>
      <c r="L11" s="13"/>
      <c r="Q11" s="13"/>
      <c r="R11" s="13"/>
      <c r="S11" s="13"/>
      <c r="T11" s="13"/>
      <c r="U11" s="8"/>
      <c r="W11" s="8"/>
    </row>
    <row r="12" spans="1:23" ht="23.25" customHeight="1" thickBot="1" x14ac:dyDescent="0.4">
      <c r="E12" s="17"/>
      <c r="F12" s="17"/>
      <c r="G12" s="17"/>
      <c r="J12" s="20"/>
      <c r="M12" s="20"/>
      <c r="N12" s="20"/>
      <c r="O12" s="20"/>
      <c r="P12" s="17"/>
      <c r="Q12" s="17"/>
      <c r="R12" s="17"/>
    </row>
    <row r="13" spans="1:23" ht="116" x14ac:dyDescent="0.35">
      <c r="A13" s="2" t="s">
        <v>21</v>
      </c>
      <c r="B13" s="4" t="s">
        <v>22</v>
      </c>
      <c r="C13" s="4" t="s">
        <v>23</v>
      </c>
      <c r="D13" s="55" t="s">
        <v>24</v>
      </c>
      <c r="E13" s="2" t="s">
        <v>47</v>
      </c>
      <c r="F13" s="4" t="s">
        <v>48</v>
      </c>
      <c r="G13" s="4" t="s">
        <v>178</v>
      </c>
      <c r="H13" s="4" t="s">
        <v>41</v>
      </c>
      <c r="I13" s="55" t="s">
        <v>49</v>
      </c>
      <c r="J13" s="2" t="s">
        <v>50</v>
      </c>
      <c r="K13" s="4" t="s">
        <v>140</v>
      </c>
      <c r="L13" s="4" t="s">
        <v>52</v>
      </c>
      <c r="M13" s="4" t="s">
        <v>145</v>
      </c>
      <c r="N13" s="4" t="s">
        <v>136</v>
      </c>
      <c r="O13" s="4" t="s">
        <v>138</v>
      </c>
      <c r="P13" s="4" t="s">
        <v>137</v>
      </c>
      <c r="Q13" s="55" t="s">
        <v>51</v>
      </c>
      <c r="R13" s="117"/>
      <c r="S13" s="2" t="s">
        <v>53</v>
      </c>
      <c r="T13" s="55" t="s">
        <v>54</v>
      </c>
    </row>
    <row r="14" spans="1:23" x14ac:dyDescent="0.35">
      <c r="A14" s="152"/>
      <c r="B14" s="153"/>
      <c r="C14" s="153"/>
      <c r="D14" s="154"/>
      <c r="E14" s="155" t="str">
        <f>"Col "&amp;COLUMN(E14)+28</f>
        <v>Col 33</v>
      </c>
      <c r="F14" s="33" t="str">
        <f t="shared" ref="F14:T14" si="0">"Col "&amp;COLUMN(F14)+28</f>
        <v>Col 34</v>
      </c>
      <c r="G14" s="33" t="str">
        <f t="shared" si="0"/>
        <v>Col 35</v>
      </c>
      <c r="H14" s="33" t="str">
        <f t="shared" si="0"/>
        <v>Col 36</v>
      </c>
      <c r="I14" s="156" t="str">
        <f t="shared" si="0"/>
        <v>Col 37</v>
      </c>
      <c r="J14" s="155" t="str">
        <f t="shared" si="0"/>
        <v>Col 38</v>
      </c>
      <c r="K14" s="33" t="str">
        <f t="shared" si="0"/>
        <v>Col 39</v>
      </c>
      <c r="L14" s="97" t="str">
        <f t="shared" si="0"/>
        <v>Col 40</v>
      </c>
      <c r="M14" s="33" t="str">
        <f t="shared" si="0"/>
        <v>Col 41</v>
      </c>
      <c r="N14" s="33" t="str">
        <f t="shared" si="0"/>
        <v>Col 42</v>
      </c>
      <c r="O14" s="33" t="str">
        <f t="shared" si="0"/>
        <v>Col 43</v>
      </c>
      <c r="P14" s="33" t="str">
        <f t="shared" si="0"/>
        <v>Col 44</v>
      </c>
      <c r="Q14" s="156" t="str">
        <f t="shared" si="0"/>
        <v>Col 45</v>
      </c>
      <c r="R14" s="118"/>
      <c r="S14" s="98" t="str">
        <f t="shared" si="0"/>
        <v>Col 47</v>
      </c>
      <c r="T14" s="96" t="str">
        <f t="shared" si="0"/>
        <v>Col 48</v>
      </c>
    </row>
    <row r="15" spans="1:23" ht="146.25" customHeight="1" thickBot="1" x14ac:dyDescent="0.4">
      <c r="A15" s="157" t="s">
        <v>42</v>
      </c>
      <c r="B15" s="158" t="s">
        <v>42</v>
      </c>
      <c r="C15" s="158" t="s">
        <v>42</v>
      </c>
      <c r="D15" s="159" t="s">
        <v>42</v>
      </c>
      <c r="E15" s="126" t="s">
        <v>134</v>
      </c>
      <c r="F15" s="228" t="str">
        <f>"("&amp;A9&amp;" - "&amp;A8&amp;") / "&amp;A8</f>
        <v>(GDP-PI Q4 2022 - GDP-PI Q4 2021) / GDP-PI Q4 2021</v>
      </c>
      <c r="G15" s="123" t="str">
        <f>"("&amp;'Study Area TRP'!G14&amp;" + "&amp;'Study Area TRP'!J14&amp;")"</f>
        <v>(Col 53 + Col 56)</v>
      </c>
      <c r="H15" s="124" t="str">
        <f>'Exogenous Costs'!AJ19</f>
        <v>Col 32</v>
      </c>
      <c r="I15" s="130" t="str">
        <f>"("&amp;'Factor Dev'!G14&amp;" + "&amp;H14&amp;") / "&amp;'Factor Dev'!G14</f>
        <v>(Col 35 + Col 36) / Col 35</v>
      </c>
      <c r="J15" s="126" t="s">
        <v>141</v>
      </c>
      <c r="K15" s="124" t="str">
        <f>J14&amp;" x (1 + "&amp;'Factor Dev'!I14&amp;" x ("&amp;F14&amp;" - "&amp;E14&amp;") + "&amp;'Factor Dev'!$H$14&amp;" / "&amp;'Factor Dev'!G14&amp;") "</f>
        <v xml:space="preserve">Col 38 x (1 + Col 37 x (Col 34 - Col 33) + Col 36 / Col 35) </v>
      </c>
      <c r="L15" s="123" t="s">
        <v>182</v>
      </c>
      <c r="M15" s="282" t="s">
        <v>191</v>
      </c>
      <c r="N15" s="282" t="s">
        <v>193</v>
      </c>
      <c r="O15" s="285" t="s">
        <v>192</v>
      </c>
      <c r="P15" s="228" t="str">
        <f>CONCATENATE("1 - ((",N14," / ",J14,") x (",O14," / ",M14,")) (1.000 if last BDS filing was effective July 1, 2022")</f>
        <v>1 - ((Col 42 / Col 38) x (Col 43 / Col 41)) (1.000 if last BDS filing was effective July 1, 2022</v>
      </c>
      <c r="Q15" s="127" t="str">
        <f>CONCATENATE(K14," x ",P14)</f>
        <v>Col 39 x Col 44</v>
      </c>
      <c r="R15" s="125"/>
      <c r="S15" s="92" t="s">
        <v>142</v>
      </c>
      <c r="T15" s="93" t="s">
        <v>143</v>
      </c>
    </row>
    <row r="16" spans="1:23" ht="15" customHeight="1" thickBot="1" x14ac:dyDescent="0.4">
      <c r="A16" s="160" t="s">
        <v>43</v>
      </c>
      <c r="B16" s="161" t="s">
        <v>43</v>
      </c>
      <c r="C16" s="162" t="s">
        <v>44</v>
      </c>
      <c r="D16" s="163" t="str">
        <f>'Exogenous Costs'!D21</f>
        <v>BDS EC 1</v>
      </c>
      <c r="E16" s="140">
        <v>0.02</v>
      </c>
      <c r="F16" s="141">
        <f>IFERROR(ROUND(($B$9-$B$8)/$B$8,6),"NA")</f>
        <v>6.7345000000000002E-2</v>
      </c>
      <c r="G16" s="142">
        <f>ROUND(SUM('Study Area TRP'!G22,'Study Area TRP'!J22),2)</f>
        <v>0</v>
      </c>
      <c r="H16" s="142">
        <f>'Exogenous Costs'!AJ21</f>
        <v>0</v>
      </c>
      <c r="I16" s="143">
        <f>IFERROR(ROUND(SUM(G16:H16)/G16,6),1)</f>
        <v>1</v>
      </c>
      <c r="J16" s="144"/>
      <c r="K16" s="145">
        <f>IFERROR(IF(G16&lt;&gt;0,ROUND(J16*(1+I16*(F16-E16)+(H16/G16)),4),J16),"NA")</f>
        <v>0</v>
      </c>
      <c r="L16" s="164" t="s">
        <v>181</v>
      </c>
      <c r="M16" s="283"/>
      <c r="N16" s="284"/>
      <c r="O16" s="286"/>
      <c r="P16" s="287">
        <f>IFERROR(IF(L16="July 1, 2022",1,ROUND(1-((N16/J16)*(O16/M16)),6)),1)</f>
        <v>1</v>
      </c>
      <c r="Q16" s="146">
        <f>IFERROR(ROUND(K16*P16,4),0)</f>
        <v>0</v>
      </c>
      <c r="R16" s="129"/>
      <c r="S16" s="219" t="s">
        <v>179</v>
      </c>
      <c r="T16" s="220" t="s">
        <v>180</v>
      </c>
    </row>
    <row r="18" spans="7:13" x14ac:dyDescent="0.35">
      <c r="I18" s="128"/>
      <c r="M18" s="48"/>
    </row>
    <row r="19" spans="7:13" x14ac:dyDescent="0.35">
      <c r="G19" s="134"/>
      <c r="I19" s="128"/>
      <c r="M19" s="48"/>
    </row>
    <row r="20" spans="7:13" x14ac:dyDescent="0.35">
      <c r="I20" s="128"/>
      <c r="M20" s="48"/>
    </row>
    <row r="21" spans="7:13" x14ac:dyDescent="0.35">
      <c r="G21" s="134"/>
      <c r="I21" s="128"/>
    </row>
    <row r="22" spans="7:13" x14ac:dyDescent="0.35">
      <c r="I22" s="128"/>
    </row>
  </sheetData>
  <mergeCells count="2">
    <mergeCell ref="G11:H11"/>
    <mergeCell ref="C6:D6"/>
  </mergeCells>
  <phoneticPr fontId="26" type="noConversion"/>
  <pageMargins left="0.25" right="0.25" top="0.75" bottom="0.75" header="0.3" footer="0.3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D641F3-2924-4CCE-89CA-44E68047025D}">
          <x14:formula1>
            <xm:f>'Date sheet'!$A$2:$A$3</xm:f>
          </x14:formula1>
          <xm:sqref>L16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26BE2-10D0-4FFE-9647-9889746A36BE}">
  <sheetPr codeName="Sheet4">
    <pageSetUpPr fitToPage="1"/>
  </sheetPr>
  <dimension ref="A1:V186"/>
  <sheetViews>
    <sheetView zoomScale="80" zoomScaleNormal="80" workbookViewId="0">
      <selection sqref="A1:B1"/>
    </sheetView>
  </sheetViews>
  <sheetFormatPr defaultColWidth="9.1796875" defaultRowHeight="14.5" x14ac:dyDescent="0.35"/>
  <cols>
    <col min="1" max="1" width="15" style="24" customWidth="1"/>
    <col min="2" max="2" width="68.7265625" style="194" bestFit="1" customWidth="1"/>
    <col min="3" max="3" width="18.7265625" style="135" customWidth="1"/>
    <col min="4" max="4" width="16.1796875" style="40" customWidth="1"/>
    <col min="5" max="5" width="20.26953125" style="9" customWidth="1"/>
    <col min="6" max="6" width="15.7265625" style="9" customWidth="1"/>
    <col min="7" max="9" width="19.54296875" style="9" bestFit="1" customWidth="1"/>
    <col min="10" max="12" width="19.54296875" style="10" bestFit="1" customWidth="1"/>
    <col min="13" max="13" width="20" style="11" bestFit="1" customWidth="1"/>
    <col min="14" max="15" width="20" style="24" bestFit="1" customWidth="1"/>
    <col min="16" max="16" width="19.54296875" style="24" bestFit="1" customWidth="1"/>
    <col min="17" max="16384" width="9.1796875" style="24"/>
  </cols>
  <sheetData>
    <row r="1" spans="1:22" ht="21" x14ac:dyDescent="0.5">
      <c r="A1" s="279" t="str">
        <f>CONCATENATE('Exogenous Costs'!C21," TRP")</f>
        <v>999901 TRP</v>
      </c>
      <c r="B1" s="279"/>
      <c r="C1" s="24"/>
      <c r="D1" s="76"/>
      <c r="E1" s="76"/>
      <c r="F1" s="64"/>
      <c r="G1" s="24"/>
      <c r="H1" s="24"/>
      <c r="I1" s="10"/>
      <c r="L1" s="11"/>
      <c r="M1" s="24"/>
    </row>
    <row r="2" spans="1:22" x14ac:dyDescent="0.35">
      <c r="A2" s="279" t="str">
        <f>'Exogenous Costs'!A2</f>
        <v xml:space="preserve">Filing Date:  </v>
      </c>
      <c r="B2" s="279"/>
      <c r="C2" s="24"/>
      <c r="D2" s="24"/>
      <c r="F2" s="65"/>
      <c r="G2" s="24"/>
      <c r="H2" s="24"/>
      <c r="I2" s="10"/>
      <c r="L2" s="11"/>
      <c r="M2" s="24"/>
    </row>
    <row r="3" spans="1:22" x14ac:dyDescent="0.35">
      <c r="A3" s="279" t="str">
        <f>'Exogenous Costs'!A3</f>
        <v xml:space="preserve">Filing Entity:  </v>
      </c>
      <c r="B3" s="279"/>
      <c r="C3" s="24"/>
      <c r="D3" s="24"/>
      <c r="F3" s="12"/>
      <c r="G3" s="24"/>
      <c r="H3" s="24"/>
      <c r="I3" s="10"/>
      <c r="L3" s="11"/>
      <c r="M3" s="24"/>
    </row>
    <row r="4" spans="1:22" x14ac:dyDescent="0.35">
      <c r="A4" s="279" t="str">
        <f>'Exogenous Costs'!A4</f>
        <v xml:space="preserve">Transmittal Number:  </v>
      </c>
      <c r="B4" s="279"/>
      <c r="C4" s="24"/>
      <c r="D4" s="24"/>
      <c r="F4" s="12"/>
      <c r="G4" s="24"/>
      <c r="H4" s="24"/>
      <c r="I4" s="10"/>
      <c r="L4" s="11"/>
      <c r="M4" s="24"/>
    </row>
    <row r="5" spans="1:22" x14ac:dyDescent="0.35">
      <c r="A5" s="279"/>
      <c r="B5" s="279"/>
      <c r="C5" s="24"/>
      <c r="D5" s="24"/>
      <c r="F5" s="12"/>
      <c r="G5" s="24"/>
      <c r="H5" s="24"/>
      <c r="I5" s="24"/>
      <c r="J5" s="24"/>
      <c r="K5" s="24"/>
      <c r="L5" s="24"/>
      <c r="M5" s="24"/>
    </row>
    <row r="6" spans="1:22" x14ac:dyDescent="0.35">
      <c r="A6" s="128"/>
      <c r="B6" s="135"/>
      <c r="C6" s="24"/>
      <c r="D6" s="24"/>
      <c r="F6" s="12"/>
      <c r="G6" s="165"/>
      <c r="H6" s="14"/>
      <c r="I6" s="24"/>
      <c r="J6" s="24"/>
      <c r="K6" s="24"/>
      <c r="L6" s="24"/>
      <c r="M6" s="24"/>
    </row>
    <row r="7" spans="1:22" x14ac:dyDescent="0.35">
      <c r="A7" s="279" t="s">
        <v>55</v>
      </c>
      <c r="B7" s="279"/>
      <c r="C7" s="74" t="s">
        <v>44</v>
      </c>
      <c r="D7" s="24"/>
      <c r="F7" s="12"/>
      <c r="G7" s="165"/>
      <c r="H7" s="14"/>
      <c r="I7" s="24"/>
      <c r="J7" s="24"/>
      <c r="K7" s="24"/>
      <c r="L7" s="24"/>
      <c r="M7" s="24"/>
    </row>
    <row r="8" spans="1:22" x14ac:dyDescent="0.35">
      <c r="A8" s="279" t="s">
        <v>56</v>
      </c>
      <c r="B8" s="279"/>
      <c r="C8" s="280" t="str">
        <f>'Exogenous Costs'!D21</f>
        <v>BDS EC 1</v>
      </c>
      <c r="D8" s="280"/>
      <c r="F8" s="12"/>
      <c r="G8" s="165"/>
      <c r="J8" s="24"/>
      <c r="K8" s="24"/>
      <c r="L8" s="24"/>
      <c r="M8" s="24"/>
    </row>
    <row r="9" spans="1:22" x14ac:dyDescent="0.35">
      <c r="A9" s="281" t="s">
        <v>57</v>
      </c>
      <c r="B9" s="281"/>
      <c r="C9" s="73">
        <f>'Factor Dev'!Q16</f>
        <v>0</v>
      </c>
      <c r="D9" s="59"/>
      <c r="G9" s="75"/>
      <c r="I9" s="24"/>
      <c r="K9" s="24"/>
      <c r="L9" s="9"/>
      <c r="M9" s="24"/>
    </row>
    <row r="10" spans="1:22" ht="15.5" x14ac:dyDescent="0.35">
      <c r="A10" s="281" t="s">
        <v>58</v>
      </c>
      <c r="B10" s="281"/>
      <c r="C10" s="73">
        <f>'Factor Dev'!J16</f>
        <v>0</v>
      </c>
      <c r="D10" s="48"/>
      <c r="E10" s="13"/>
      <c r="F10" s="102"/>
      <c r="G10" s="53"/>
      <c r="H10" s="24"/>
      <c r="J10" s="54"/>
      <c r="K10" s="54"/>
      <c r="L10" s="54"/>
      <c r="T10" s="66"/>
      <c r="U10" s="66"/>
      <c r="V10" s="66"/>
    </row>
    <row r="11" spans="1:22" ht="15" customHeight="1" thickBot="1" x14ac:dyDescent="0.4">
      <c r="B11" s="24"/>
      <c r="C11" s="166"/>
      <c r="D11" s="167"/>
      <c r="E11" s="48"/>
      <c r="F11" s="103"/>
      <c r="H11" s="132"/>
      <c r="N11" s="66"/>
      <c r="O11" s="66"/>
      <c r="P11" s="3"/>
    </row>
    <row r="12" spans="1:22" ht="16" thickBot="1" x14ac:dyDescent="0.4">
      <c r="A12" s="258"/>
      <c r="B12" s="273" t="s">
        <v>59</v>
      </c>
      <c r="C12" s="274"/>
      <c r="D12" s="274"/>
      <c r="E12" s="274"/>
      <c r="F12" s="275"/>
      <c r="G12" s="276" t="s">
        <v>60</v>
      </c>
      <c r="H12" s="276"/>
      <c r="I12" s="276"/>
      <c r="J12" s="277" t="s">
        <v>61</v>
      </c>
      <c r="K12" s="276"/>
      <c r="L12" s="278"/>
      <c r="M12" s="277" t="s">
        <v>62</v>
      </c>
      <c r="N12" s="276"/>
      <c r="O12" s="278"/>
      <c r="P12" s="66"/>
    </row>
    <row r="13" spans="1:22" ht="199.5" customHeight="1" x14ac:dyDescent="0.35">
      <c r="A13" s="259"/>
      <c r="B13" s="168" t="s">
        <v>63</v>
      </c>
      <c r="C13" s="89" t="str">
        <f>CONCATENATE("Current Service Band Index
(SBI) or Actual Price Index (API) from ",'Factor Dev'!L16," TRP)")</f>
        <v>Current Service Band Index
(SBI) or Actual Price Index (API) from October 1, 2022 TRP)</v>
      </c>
      <c r="D13" s="67" t="s">
        <v>64</v>
      </c>
      <c r="E13" s="4" t="s">
        <v>65</v>
      </c>
      <c r="F13" s="55" t="s">
        <v>66</v>
      </c>
      <c r="G13" s="237" t="str">
        <f>CONCATENATE("At Last PCI Update (",'Factor Dev'!L16,")")</f>
        <v>At Last PCI Update (October 1, 2022)</v>
      </c>
      <c r="H13" s="4" t="str">
        <f>CONCATENATE("At Current Rate (",'Factor Dev'!S16,")")</f>
        <v>At Current Rate (June 30, 2023)</v>
      </c>
      <c r="I13" s="55" t="str">
        <f>CONCATENATE("At Proposed Rate (",'Factor Dev'!T16,")")</f>
        <v>At Proposed Rate (July 1, 2023)</v>
      </c>
      <c r="J13" s="237" t="str">
        <f>CONCATENATE("At Last PCI Update (",'Factor Dev'!L16,")")</f>
        <v>At Last PCI Update (October 1, 2022)</v>
      </c>
      <c r="K13" s="4" t="str">
        <f>CONCATENATE("At Current Rate (",'Factor Dev'!S16,")")</f>
        <v>At Current Rate (June 30, 2023)</v>
      </c>
      <c r="L13" s="55" t="str">
        <f>CONCATENATE("At Proposed Rate (",'Factor Dev'!T16,")")</f>
        <v>At Proposed Rate (July 1, 2023)</v>
      </c>
      <c r="M13" s="237" t="str">
        <f>CONCATENATE("At Last PCI Update (",'Factor Dev'!L16,")")</f>
        <v>At Last PCI Update (October 1, 2022)</v>
      </c>
      <c r="N13" s="4" t="str">
        <f>CONCATENATE("At Current Rate (",'Factor Dev'!S16,")")</f>
        <v>At Current Rate (June 30, 2023)</v>
      </c>
      <c r="O13" s="55" t="str">
        <f>CONCATENATE("At Proposed Rate (",'Factor Dev'!T16,")")</f>
        <v>At Proposed Rate (July 1, 2023)</v>
      </c>
    </row>
    <row r="14" spans="1:22" x14ac:dyDescent="0.35">
      <c r="A14" s="260"/>
      <c r="B14" s="155"/>
      <c r="C14" s="97" t="str">
        <f>"Col "&amp;COLUMN(C14)+46</f>
        <v>Col 49</v>
      </c>
      <c r="D14" s="97" t="str">
        <f t="shared" ref="D14:O14" si="0">"Col "&amp;COLUMN(D14)+46</f>
        <v>Col 50</v>
      </c>
      <c r="E14" s="97" t="str">
        <f t="shared" si="0"/>
        <v>Col 51</v>
      </c>
      <c r="F14" s="96" t="str">
        <f t="shared" si="0"/>
        <v>Col 52</v>
      </c>
      <c r="G14" s="99" t="str">
        <f t="shared" si="0"/>
        <v>Col 53</v>
      </c>
      <c r="H14" s="97" t="str">
        <f t="shared" si="0"/>
        <v>Col 54</v>
      </c>
      <c r="I14" s="96" t="str">
        <f t="shared" si="0"/>
        <v>Col 55</v>
      </c>
      <c r="J14" s="99" t="str">
        <f t="shared" si="0"/>
        <v>Col 56</v>
      </c>
      <c r="K14" s="97" t="str">
        <f t="shared" si="0"/>
        <v>Col 57</v>
      </c>
      <c r="L14" s="96" t="str">
        <f t="shared" si="0"/>
        <v>Col 58</v>
      </c>
      <c r="M14" s="98" t="str">
        <f t="shared" si="0"/>
        <v>Col 59</v>
      </c>
      <c r="N14" s="97" t="str">
        <f t="shared" si="0"/>
        <v>Col 60</v>
      </c>
      <c r="O14" s="96" t="str">
        <f t="shared" si="0"/>
        <v>Col 61</v>
      </c>
    </row>
    <row r="15" spans="1:22" ht="142.5" customHeight="1" x14ac:dyDescent="0.35">
      <c r="A15" s="169" t="s">
        <v>67</v>
      </c>
      <c r="B15" s="68"/>
      <c r="C15" s="15" t="s">
        <v>42</v>
      </c>
      <c r="D15" s="15" t="str">
        <f>"("&amp;O14&amp;"  / "&amp;N14&amp;") x "&amp;C14&amp;""</f>
        <v>(Col 61  / Col 60) x Col 49</v>
      </c>
      <c r="E15" s="91" t="str">
        <f>"("&amp;C14&amp;"  X Ratio of Proposed PCI to Current PCI X 1.05) or Study Area Proposed PCI"</f>
        <v>(Col 49  X Ratio of Proposed PCI to Current PCI X 1.05) or Study Area Proposed PCI</v>
      </c>
      <c r="F15" s="106" t="str">
        <f>D14&amp;" Must Be Less Than Or Equal To "&amp;E14&amp;" To Pass"</f>
        <v>Col 50 Must Be Less Than Or Equal To Col 51 To Pass</v>
      </c>
      <c r="G15" s="170" t="s">
        <v>68</v>
      </c>
      <c r="H15" s="15" t="s">
        <v>69</v>
      </c>
      <c r="I15" s="106" t="s">
        <v>70</v>
      </c>
      <c r="J15" s="171" t="s">
        <v>71</v>
      </c>
      <c r="K15" s="33" t="s">
        <v>72</v>
      </c>
      <c r="L15" s="156" t="s">
        <v>73</v>
      </c>
      <c r="M15" s="68" t="str">
        <f>CONCATENATE("Sum (",G14," + ",J14,")")</f>
        <v>Sum (Col 53 + Col 56)</v>
      </c>
      <c r="N15" s="15" t="str">
        <f>CONCATENATE("Sum (",H14," + ",K14,")")</f>
        <v>Sum (Col 54 + Col 57)</v>
      </c>
      <c r="O15" s="15" t="str">
        <f>CONCATENATE("Sum (",I14," + ",L14,")")</f>
        <v>Sum (Col 55 + Col 58)</v>
      </c>
    </row>
    <row r="16" spans="1:22" x14ac:dyDescent="0.35">
      <c r="A16" s="172">
        <v>1</v>
      </c>
      <c r="B16" s="173" t="s">
        <v>74</v>
      </c>
      <c r="C16" s="56"/>
      <c r="D16" s="56">
        <f t="shared" ref="D16:D22" si="1">IF(SUM(N16,O16)&lt;&gt;0,ROUND((O16/N16)*C16,4),C16)</f>
        <v>0</v>
      </c>
      <c r="E16" s="56" t="str">
        <f>IFERROR(IF(SUM(N16,O16)&lt;&gt;0,ROUND(C16*($C$9/$C$10)*1.05,4),"NA"),"NA")</f>
        <v>NA</v>
      </c>
      <c r="F16" s="116" t="str">
        <f>IF(D16&lt;=E16,"Pass","Fail")</f>
        <v>Pass</v>
      </c>
      <c r="G16" s="174">
        <f>ROUND(((SUMIF($C33:$C93,"VG",$K33:$K93)+SUMIF($C33:$C93,"WATS",$K33:$K93)+SUMIF($C33:$C93,"METAL",$K33:$K93)+SUMIF($C33:$C93,"TGR",$K33:$K93))*12),2)</f>
        <v>0</v>
      </c>
      <c r="H16" s="175">
        <f>ROUND((SUMIF($C33:$C93,"VG",$L33:$L93)+SUMIF($C33:$C93,"WATS",$L33:$L93)+SUMIF($C33:$C93,"METAL",$L33:$L93)+SUMIF($C33:$C93,"TGR",$L33:$L93))*12,2)</f>
        <v>0</v>
      </c>
      <c r="I16" s="176">
        <f>ROUND((SUMIF($C33:$C93,"VG",$M33:$M93)+SUMIF($C33:$C93,"WATS",$M33:$M93)+SUMIF($C33:$C93,"METAL",$M33:$M93)+SUMIF($C33:$C93,"TGR",$M33:$M93))*12,2)</f>
        <v>0</v>
      </c>
      <c r="J16" s="174">
        <f>ROUND((SUMIF($C103:$C163,"VG",$I103:$I163)+SUMIF($C103:$C163,"WATS",$I103:$I163)+SUMIF($C103:$C163,"METAL",$I103:$I163)+SUMIF($C103:$C163,"TGR",$I103:$I163)),2)</f>
        <v>0</v>
      </c>
      <c r="K16" s="174">
        <f>ROUND((SUMIF($C103:$C163,"VG",$J103:$J163)+SUMIF($C103:$C163,"WATS",$J103:$J163)+SUMIF($C103:$C163,"METAL",$J103:$J163)+SUMIF($C103:$C163,"TGR",$J103:$J163)),2)</f>
        <v>0</v>
      </c>
      <c r="L16" s="174">
        <f>ROUND((SUMIF($C103:$C163,"VG",$K103:$K163)+SUMIF($C103:$C163,"WATS",$K103:$K163)+SUMIF($C103:$C163,"METAL",$K103:$K163)+SUMIF($C103:$C163,"TGR",$K103:$K163)),2)</f>
        <v>0</v>
      </c>
      <c r="M16" s="174">
        <f>SUM(G16,J16)</f>
        <v>0</v>
      </c>
      <c r="N16" s="174">
        <f>SUM(H16,K16)</f>
        <v>0</v>
      </c>
      <c r="O16" s="174">
        <f>SUM(I16,L16)</f>
        <v>0</v>
      </c>
      <c r="Q16" s="69"/>
    </row>
    <row r="17" spans="1:17" x14ac:dyDescent="0.35">
      <c r="A17" s="172">
        <v>2</v>
      </c>
      <c r="B17" s="173" t="s">
        <v>75</v>
      </c>
      <c r="C17" s="56"/>
      <c r="D17" s="56">
        <f t="shared" si="1"/>
        <v>0</v>
      </c>
      <c r="E17" s="56" t="str">
        <f t="shared" ref="E17:E21" si="2">IFERROR(IF(SUM(N17,O17)&lt;&gt;0,ROUND(C17*($C$9/$C$10)*1.05,4),"NA"),"NA")</f>
        <v>NA</v>
      </c>
      <c r="F17" s="116" t="str">
        <f t="shared" ref="F17:F22" si="3">IF(D17&lt;=E17,"Pass","Fail")</f>
        <v>Pass</v>
      </c>
      <c r="G17" s="174">
        <f>ROUND((SUMIF($C33:$C93,"AV",$K33:$K93))*12,2)</f>
        <v>0</v>
      </c>
      <c r="H17" s="175">
        <f>ROUND((SUMIF($C33:$C93,"AV",$L33:$L93))*12,2)</f>
        <v>0</v>
      </c>
      <c r="I17" s="176">
        <f>ROUND((SUMIF($C33:$C93,"AV",$M33:$M93))*12,2)</f>
        <v>0</v>
      </c>
      <c r="J17" s="174">
        <f>ROUND((SUMIF($C103:$C163,"AV",$I103:$I163)),2)</f>
        <v>0</v>
      </c>
      <c r="K17" s="174">
        <f>ROUND((SUMIF($C103:$C163,"AV",$J103:$J163)),2)</f>
        <v>0</v>
      </c>
      <c r="L17" s="174">
        <f>ROUND((SUMIF($C103:$C163,"AV",$K103:$K163)),2)</f>
        <v>0</v>
      </c>
      <c r="M17" s="174">
        <f t="shared" ref="M17:M22" si="4">SUM(G17,J17)</f>
        <v>0</v>
      </c>
      <c r="N17" s="174">
        <f t="shared" ref="N17:N22" si="5">SUM(H17,K17)</f>
        <v>0</v>
      </c>
      <c r="O17" s="174">
        <f t="shared" ref="O17:O22" si="6">SUM(I17,L17)</f>
        <v>0</v>
      </c>
    </row>
    <row r="18" spans="1:17" x14ac:dyDescent="0.35">
      <c r="A18" s="172">
        <v>3</v>
      </c>
      <c r="B18" s="173" t="s">
        <v>76</v>
      </c>
      <c r="C18" s="56"/>
      <c r="D18" s="56">
        <f t="shared" si="1"/>
        <v>0</v>
      </c>
      <c r="E18" s="56" t="str">
        <f t="shared" si="2"/>
        <v>NA</v>
      </c>
      <c r="F18" s="116" t="str">
        <f t="shared" si="3"/>
        <v>Pass</v>
      </c>
      <c r="G18" s="174">
        <f>ROUND((SUMIF($C33:$C93,"DS1",$K33:$K93))*12,2)</f>
        <v>0</v>
      </c>
      <c r="H18" s="175">
        <f>ROUND((SUMIF($C33:$C93,"DS1",$L33:$L93))*12,2)</f>
        <v>0</v>
      </c>
      <c r="I18" s="176">
        <f>ROUND((SUMIF($C33:$C93,"DS1",$M33:$M93))*12,2)</f>
        <v>0</v>
      </c>
      <c r="J18" s="174">
        <f>ROUND((SUMIF($C103:$C163,"DS1",$I103:$I163)),2)</f>
        <v>0</v>
      </c>
      <c r="K18" s="174">
        <f>ROUND((SUMIF($C103:$C163,"DS1",$J103:$J163)),2)</f>
        <v>0</v>
      </c>
      <c r="L18" s="174">
        <f>ROUND((SUMIF($C103:$C163,"DS1",$K103:$K163)),2)</f>
        <v>0</v>
      </c>
      <c r="M18" s="174">
        <f t="shared" si="4"/>
        <v>0</v>
      </c>
      <c r="N18" s="174">
        <f t="shared" si="5"/>
        <v>0</v>
      </c>
      <c r="O18" s="174">
        <f t="shared" si="6"/>
        <v>0</v>
      </c>
    </row>
    <row r="19" spans="1:17" x14ac:dyDescent="0.35">
      <c r="A19" s="172">
        <v>4</v>
      </c>
      <c r="B19" s="173" t="s">
        <v>77</v>
      </c>
      <c r="C19" s="56"/>
      <c r="D19" s="56">
        <f t="shared" si="1"/>
        <v>0</v>
      </c>
      <c r="E19" s="56" t="str">
        <f t="shared" si="2"/>
        <v>NA</v>
      </c>
      <c r="F19" s="116" t="str">
        <f t="shared" si="3"/>
        <v>Pass</v>
      </c>
      <c r="G19" s="174">
        <f>ROUND((SUMIF($C33:$C93,"DS3",$K33:$K93))*12,2)</f>
        <v>0</v>
      </c>
      <c r="H19" s="175">
        <f>ROUND((SUMIF($C33:$C93,"DS3",$L33:$L93))*12,2)</f>
        <v>0</v>
      </c>
      <c r="I19" s="176">
        <f>ROUND((SUMIF($C33:$C93,"DS3",$M33:$M93))*12,2)</f>
        <v>0</v>
      </c>
      <c r="J19" s="174">
        <f>ROUND((SUMIF($C103:$C163,"DS3",$I103:$I163)),2)</f>
        <v>0</v>
      </c>
      <c r="K19" s="174">
        <f>ROUND((SUMIF($C103:$C163,"DS3",$J103:$J163)),2)</f>
        <v>0</v>
      </c>
      <c r="L19" s="174">
        <f>ROUND((SUMIF($C103:$C163,"DS3",$K103:$K163)),2)</f>
        <v>0</v>
      </c>
      <c r="M19" s="174">
        <f t="shared" si="4"/>
        <v>0</v>
      </c>
      <c r="N19" s="174">
        <f t="shared" si="5"/>
        <v>0</v>
      </c>
      <c r="O19" s="174">
        <f t="shared" si="6"/>
        <v>0</v>
      </c>
      <c r="Q19" s="59"/>
    </row>
    <row r="20" spans="1:17" x14ac:dyDescent="0.35">
      <c r="A20" s="172">
        <v>5</v>
      </c>
      <c r="B20" s="173" t="s">
        <v>78</v>
      </c>
      <c r="C20" s="56"/>
      <c r="D20" s="56">
        <f t="shared" si="1"/>
        <v>0</v>
      </c>
      <c r="E20" s="56" t="str">
        <f t="shared" si="2"/>
        <v>NA</v>
      </c>
      <c r="F20" s="116" t="str">
        <f t="shared" si="3"/>
        <v>Pass</v>
      </c>
      <c r="G20" s="174">
        <f>ROUND((SUMIF($C33:$C93,"DS1",$K33:$K93)+SUMIF($C33:$C93,"DS3",$K33:$K93)+SUMIF($C33:$C93,"DDS",$K33:$K93))*12,2)</f>
        <v>0</v>
      </c>
      <c r="H20" s="175">
        <f>ROUND((SUMIF($C33:$C93,"DS1",$L33:$L93)+SUMIF($C33:$C93,"DS3",$L33:$L93)+SUMIF($C33:$C93,"DDS",$L33:$L93))*12,2)</f>
        <v>0</v>
      </c>
      <c r="I20" s="176">
        <f>ROUND((SUMIF($C33:$C93,"DS1",$M33:$M93)+SUMIF($C33:$C93,"DS3",$M33:$M93)+SUMIF($C33:$C93,"DDS",$M33:$M93))*12,2)</f>
        <v>0</v>
      </c>
      <c r="J20" s="174">
        <f>ROUND((SUMIF($C103:$C163,"DS1",$I103:$I163)+SUMIF($C103:$C163,"DS3",$I103:$I163)+SUMIF($C103:$C163,"DDS",$I103:$I163)),2)</f>
        <v>0</v>
      </c>
      <c r="K20" s="174">
        <f>ROUND((SUMIF($C103:$C163,"DS1",$J103:$J163)+SUMIF($C103:$C163,"DS3",$J103:$J163)+SUMIF($C103:$C163,"DDS",$J103:$J163)),2)</f>
        <v>0</v>
      </c>
      <c r="L20" s="174">
        <f>ROUND((SUMIF($C103:$C163,"DS1",$K103:$K163)+SUMIF($C103:$C163,"DS3",$K103:$K163)+SUMIF($C103:$C163,"DDS",$K103:$K163)),2)</f>
        <v>0</v>
      </c>
      <c r="M20" s="174">
        <f t="shared" si="4"/>
        <v>0</v>
      </c>
      <c r="N20" s="174">
        <f t="shared" si="5"/>
        <v>0</v>
      </c>
      <c r="O20" s="174">
        <f t="shared" si="6"/>
        <v>0</v>
      </c>
    </row>
    <row r="21" spans="1:17" x14ac:dyDescent="0.35">
      <c r="A21" s="172">
        <v>6</v>
      </c>
      <c r="B21" s="177" t="s">
        <v>79</v>
      </c>
      <c r="C21" s="56"/>
      <c r="D21" s="56">
        <f t="shared" si="1"/>
        <v>0</v>
      </c>
      <c r="E21" s="56" t="str">
        <f t="shared" si="2"/>
        <v>NA</v>
      </c>
      <c r="F21" s="116" t="str">
        <f t="shared" si="3"/>
        <v>Pass</v>
      </c>
      <c r="G21" s="174">
        <f>ROUND((SUMIF($C33:$C93,"WIDE",$K33:$K93))*12,2)</f>
        <v>0</v>
      </c>
      <c r="H21" s="175">
        <f>ROUND((SUMIF($C33:$C93,"WIDE",$L33:$L93))*12,2)</f>
        <v>0</v>
      </c>
      <c r="I21" s="176">
        <f>ROUND((SUMIF($C33:$C82,"WIDE",$M33:$M93))*12,2)</f>
        <v>0</v>
      </c>
      <c r="J21" s="174">
        <f>ROUND((SUMIF($C103:$C163,"WIDE",$I103:$I163)),2)</f>
        <v>0</v>
      </c>
      <c r="K21" s="174">
        <f>ROUND((SUMIF($C103:$C163,"WIDE",$J103:$J163)),2)</f>
        <v>0</v>
      </c>
      <c r="L21" s="174">
        <f>ROUND((SUMIF($C103:$C163,"WIDE",$K103:$K163)),2)</f>
        <v>0</v>
      </c>
      <c r="M21" s="174">
        <f t="shared" si="4"/>
        <v>0</v>
      </c>
      <c r="N21" s="174">
        <f t="shared" si="5"/>
        <v>0</v>
      </c>
      <c r="O21" s="174">
        <f t="shared" si="6"/>
        <v>0</v>
      </c>
    </row>
    <row r="22" spans="1:17" ht="15" thickBot="1" x14ac:dyDescent="0.4">
      <c r="A22" s="178">
        <v>7</v>
      </c>
      <c r="B22" s="179" t="s">
        <v>80</v>
      </c>
      <c r="C22" s="180"/>
      <c r="D22" s="180">
        <f t="shared" si="1"/>
        <v>0</v>
      </c>
      <c r="E22" s="180">
        <f>$C$9</f>
        <v>0</v>
      </c>
      <c r="F22" s="181" t="str">
        <f t="shared" si="3"/>
        <v>Pass</v>
      </c>
      <c r="G22" s="182">
        <f>ROUND(SUM(G16,G17,G20,G21,(SUMIF($C33:$C93,"MISC",$K33:$K93))*12),2)</f>
        <v>0</v>
      </c>
      <c r="H22" s="183">
        <f>ROUND(SUM(H16,H17,H20,H21,(SUMIF($C33:$C93,"MISC",$L33:$L93))*12),2)</f>
        <v>0</v>
      </c>
      <c r="I22" s="184">
        <f>ROUND(SUM(I16,I17,I20,I21,(SUMIF($C33:$C93,"MISC",$M33:$M93))*12),2)</f>
        <v>0</v>
      </c>
      <c r="J22" s="185">
        <f>ROUND(SUM(J16,J17,J20,J21,(SUMIF($C104:$C163,"MISC",$I104:$I163))),2)</f>
        <v>0</v>
      </c>
      <c r="K22" s="183">
        <f>ROUND(SUM(K16,K17,K20,K21,(SUMIF($C104:$C163,"MISC",$J104:$J163))),2)</f>
        <v>0</v>
      </c>
      <c r="L22" s="184">
        <f>ROUND(SUM(L16,L17,L20,L21,(SUMIF($C104:$C163,"MISC",$K104:$K163))),2)</f>
        <v>0</v>
      </c>
      <c r="M22" s="182">
        <f t="shared" si="4"/>
        <v>0</v>
      </c>
      <c r="N22" s="182">
        <f t="shared" si="5"/>
        <v>0</v>
      </c>
      <c r="O22" s="182">
        <f t="shared" si="6"/>
        <v>0</v>
      </c>
      <c r="P22" s="74"/>
    </row>
    <row r="23" spans="1:17" x14ac:dyDescent="0.35">
      <c r="B23" s="48"/>
      <c r="C23" s="18"/>
      <c r="D23" s="19"/>
      <c r="E23" s="20"/>
      <c r="F23" s="21"/>
      <c r="G23" s="21"/>
      <c r="H23" s="21"/>
      <c r="I23" s="21"/>
      <c r="J23" s="21"/>
      <c r="K23" s="21"/>
      <c r="L23" s="24"/>
      <c r="M23" s="24"/>
    </row>
    <row r="24" spans="1:17" x14ac:dyDescent="0.35">
      <c r="B24" s="24"/>
      <c r="C24" s="48"/>
      <c r="D24" s="18"/>
      <c r="E24" s="19"/>
      <c r="F24" s="20"/>
      <c r="G24" s="21"/>
      <c r="H24" s="21"/>
      <c r="I24" s="21"/>
      <c r="J24" s="21"/>
      <c r="K24" s="21"/>
      <c r="L24" s="21"/>
      <c r="M24" s="24"/>
    </row>
    <row r="25" spans="1:17" ht="15" thickBot="1" x14ac:dyDescent="0.4">
      <c r="B25" s="186"/>
      <c r="D25" s="48"/>
      <c r="G25" s="12"/>
      <c r="H25" s="3"/>
      <c r="J25" s="23"/>
      <c r="K25" s="23"/>
      <c r="L25" s="23"/>
      <c r="N25" s="3"/>
      <c r="O25" s="3"/>
    </row>
    <row r="26" spans="1:17" ht="14.5" customHeight="1" x14ac:dyDescent="0.35">
      <c r="A26" s="261" t="s">
        <v>81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3"/>
      <c r="O26" s="25"/>
    </row>
    <row r="27" spans="1:17" ht="14.5" customHeight="1" thickBot="1" x14ac:dyDescent="0.4">
      <c r="A27" s="264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6"/>
      <c r="O27" s="25"/>
    </row>
    <row r="28" spans="1:17" ht="14.5" customHeight="1" x14ac:dyDescent="0.3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7" ht="15.5" x14ac:dyDescent="0.35">
      <c r="B29" s="24"/>
      <c r="C29"/>
      <c r="D29" s="87"/>
      <c r="E29" s="87"/>
      <c r="F29" s="87"/>
      <c r="G29" s="27"/>
      <c r="H29" s="27"/>
      <c r="I29" s="27"/>
      <c r="J29" s="24"/>
      <c r="K29" s="255" t="s">
        <v>82</v>
      </c>
      <c r="L29" s="256"/>
      <c r="M29" s="257"/>
      <c r="O29" s="77"/>
    </row>
    <row r="30" spans="1:17" s="39" customFormat="1" ht="279" customHeight="1" x14ac:dyDescent="0.35">
      <c r="A30" s="28" t="s">
        <v>83</v>
      </c>
      <c r="B30" s="28" t="s">
        <v>84</v>
      </c>
      <c r="C30" s="29" t="s">
        <v>85</v>
      </c>
      <c r="D30" s="30" t="str">
        <f>CONCATENATE("Rate at Last PCI Update (",'Factor Dev'!L16,")")</f>
        <v>Rate at Last PCI Update (October 1, 2022)</v>
      </c>
      <c r="E30" s="30" t="str">
        <f>CONCATENATE("Current Rate (",'Factor Dev'!S16,")")</f>
        <v>Current Rate (June 30, 2023)</v>
      </c>
      <c r="F30" s="30" t="str">
        <f>CONCATENATE("Proposed Rate (",'Factor Dev'!T16,")")</f>
        <v>Proposed Rate (July 1, 2023)</v>
      </c>
      <c r="G30" s="30" t="s">
        <v>86</v>
      </c>
      <c r="H30" s="238" t="s">
        <v>183</v>
      </c>
      <c r="I30" s="238" t="s">
        <v>184</v>
      </c>
      <c r="J30" s="238" t="s">
        <v>185</v>
      </c>
      <c r="K30" s="31" t="str">
        <f>CONCATENATE("At Last PCI Update (",'Factor Dev'!L16,")")</f>
        <v>At Last PCI Update (October 1, 2022)</v>
      </c>
      <c r="L30" s="31" t="str">
        <f>CONCATENATE("At Current Rate (",'Factor Dev'!S16,")")</f>
        <v>At Current Rate (June 30, 2023)</v>
      </c>
      <c r="M30" s="31" t="str">
        <f>CONCATENATE("At Current Rate (",'Factor Dev'!T16,")")</f>
        <v>At Current Rate (July 1, 2023)</v>
      </c>
      <c r="N30" s="30" t="s">
        <v>90</v>
      </c>
      <c r="O30" s="77"/>
    </row>
    <row r="31" spans="1:17" s="135" customFormat="1" x14ac:dyDescent="0.35">
      <c r="A31" s="187"/>
      <c r="B31" s="188"/>
      <c r="C31" s="28" t="str">
        <f>"Col "&amp;COLUMN(C32)+59</f>
        <v>Col 62</v>
      </c>
      <c r="D31" s="28" t="str">
        <f t="shared" ref="D31:N31" si="7">"Col "&amp;COLUMN(D32)+59</f>
        <v>Col 63</v>
      </c>
      <c r="E31" s="28" t="str">
        <f t="shared" si="7"/>
        <v>Col 64</v>
      </c>
      <c r="F31" s="28" t="str">
        <f t="shared" si="7"/>
        <v>Col 65</v>
      </c>
      <c r="G31" s="28" t="str">
        <f t="shared" si="7"/>
        <v>Col 66</v>
      </c>
      <c r="H31" s="28" t="str">
        <f t="shared" si="7"/>
        <v>Col 67</v>
      </c>
      <c r="I31" s="28" t="str">
        <f t="shared" si="7"/>
        <v>Col 68</v>
      </c>
      <c r="J31" s="28" t="str">
        <f t="shared" si="7"/>
        <v>Col 69</v>
      </c>
      <c r="K31" s="28" t="str">
        <f t="shared" si="7"/>
        <v>Col 70</v>
      </c>
      <c r="L31" s="28" t="str">
        <f t="shared" si="7"/>
        <v>Col 71</v>
      </c>
      <c r="M31" s="28" t="str">
        <f t="shared" si="7"/>
        <v>Col 72</v>
      </c>
      <c r="N31" s="28" t="str">
        <f t="shared" si="7"/>
        <v>Col 73</v>
      </c>
      <c r="O31" s="77"/>
    </row>
    <row r="32" spans="1:17" s="135" customFormat="1" ht="151.5" customHeight="1" x14ac:dyDescent="0.35">
      <c r="A32" s="28" t="s">
        <v>42</v>
      </c>
      <c r="B32" s="28" t="s">
        <v>42</v>
      </c>
      <c r="C32" s="33" t="s">
        <v>42</v>
      </c>
      <c r="D32" s="28" t="s">
        <v>42</v>
      </c>
      <c r="E32" s="32" t="s">
        <v>42</v>
      </c>
      <c r="F32" s="32" t="s">
        <v>42</v>
      </c>
      <c r="G32" s="32" t="str">
        <f>"("&amp;F31&amp;" / "&amp;E31&amp;")"&amp;" - 1"</f>
        <v>(Col 65 / Col 64) - 1</v>
      </c>
      <c r="H32" s="33" t="s">
        <v>42</v>
      </c>
      <c r="I32" s="33" t="s">
        <v>42</v>
      </c>
      <c r="J32" s="33" t="s">
        <v>42</v>
      </c>
      <c r="K32" s="32" t="str">
        <f>"(("&amp;D31&amp;" x "&amp;H31&amp;") + ("&amp;D31&amp;" x "&amp;I31&amp;" x Appropriate Discount) + ("&amp;D31&amp;" x "&amp;J31&amp;" x Appropriate Discount))"</f>
        <v>((Col 63 x Col 67) + (Col 63 x Col 68 x Appropriate Discount) + (Col 63 x Col 69 x Appropriate Discount))</v>
      </c>
      <c r="L32" s="32" t="str">
        <f>"(("&amp;E31&amp;" x "&amp;H31&amp;") + ("&amp;E31&amp;" x "&amp;I31&amp;" x Appropriate Discount) + ("&amp;E31&amp;" x "&amp;J31&amp;" x Appropriate Discount))"</f>
        <v>((Col 64 x Col 67) + (Col 64 x Col 68 x Appropriate Discount) + (Col 64 x Col 69 x Appropriate Discount))</v>
      </c>
      <c r="M32" s="32" t="str">
        <f>"(("&amp;F31&amp;" x "&amp;H31&amp;") + ("&amp;F31&amp;" x "&amp;I31&amp;" x Appropriate Discount) + ("&amp;F31&amp;" x "&amp;J31&amp;" x Appropriate Discount))"</f>
        <v>((Col 65 x Col 67) + (Col 65 x Col 68 x Appropriate Discount) + (Col 65 x Col 69 x Appropriate Discount))</v>
      </c>
      <c r="N32" s="32" t="str">
        <f>M31&amp;" - "&amp;L31</f>
        <v>Col 72 - Col 71</v>
      </c>
      <c r="O32" s="77"/>
    </row>
    <row r="33" spans="1:15" s="135" customFormat="1" x14ac:dyDescent="0.35">
      <c r="A33" s="189"/>
      <c r="B33" s="33" t="s">
        <v>91</v>
      </c>
      <c r="C33" s="33" t="s">
        <v>92</v>
      </c>
      <c r="D33" s="190"/>
      <c r="E33" s="190"/>
      <c r="F33" s="190"/>
      <c r="G33" s="190"/>
      <c r="H33" s="34"/>
      <c r="I33" s="34"/>
      <c r="J33" s="34"/>
      <c r="K33" s="191"/>
      <c r="L33" s="191"/>
      <c r="M33" s="191"/>
      <c r="N33" s="191"/>
      <c r="O33" s="77"/>
    </row>
    <row r="34" spans="1:15" s="135" customFormat="1" x14ac:dyDescent="0.35">
      <c r="A34" s="189" t="s">
        <v>93</v>
      </c>
      <c r="B34" s="189" t="s">
        <v>94</v>
      </c>
      <c r="C34" s="192" t="s">
        <v>92</v>
      </c>
      <c r="D34" s="37"/>
      <c r="E34" s="37"/>
      <c r="F34" s="37"/>
      <c r="G34" s="36">
        <f>IFERROR(ROUND(($F34/$E34)-1,3),0)</f>
        <v>0</v>
      </c>
      <c r="H34" s="193"/>
      <c r="I34" s="193"/>
      <c r="J34" s="193"/>
      <c r="K34" s="37">
        <f>IFERROR(ROUND((($D34*$H34)+($D34*$I34*0.8)+($D34*$J34*0.9)),2),0)</f>
        <v>0</v>
      </c>
      <c r="L34" s="37">
        <f>IFERROR(ROUND((($E34*$H34)+($E34*$I34*0.8)+($E34*$J34*0.9)),2),0)</f>
        <v>0</v>
      </c>
      <c r="M34" s="37">
        <f>IFERROR(ROUND((($F34*$H34)+($F34*$I34*0.8)+($F34*$J34*0.9)),2),0)</f>
        <v>0</v>
      </c>
      <c r="N34" s="37">
        <f>IFERROR(ROUND($M34-$L34,2),0)</f>
        <v>0</v>
      </c>
      <c r="O34" s="78"/>
    </row>
    <row r="35" spans="1:15" s="135" customFormat="1" x14ac:dyDescent="0.35">
      <c r="A35" s="189"/>
      <c r="B35" s="189"/>
      <c r="C35" s="192"/>
      <c r="D35" s="37"/>
      <c r="E35" s="37"/>
      <c r="F35" s="37"/>
      <c r="G35" s="36">
        <f t="shared" ref="G35:G38" si="8">IFERROR(ROUND(($F35/$E35)-1,3),0)</f>
        <v>0</v>
      </c>
      <c r="H35" s="193"/>
      <c r="I35" s="193"/>
      <c r="J35" s="193"/>
      <c r="K35" s="37">
        <f t="shared" ref="K35:K38" si="9">IFERROR(ROUND((($D35*$H35)+($D35*$I35*0.8)+($D35*$J35*0.9)),2),0)</f>
        <v>0</v>
      </c>
      <c r="L35" s="37">
        <f t="shared" ref="L35:L38" si="10">IFERROR(ROUND((($E35*$H35)+($E35*$I35*0.8)+($E35*$J35*0.9)),2),0)</f>
        <v>0</v>
      </c>
      <c r="M35" s="37">
        <f t="shared" ref="M35:M38" si="11">IFERROR(ROUND((($F35*$H35)+($F35*$I35*0.8)+($F35*$J35*0.9)),2),0)</f>
        <v>0</v>
      </c>
      <c r="N35" s="37">
        <f t="shared" ref="N35:N38" si="12">IFERROR(ROUND($M35-$L35,2),0)</f>
        <v>0</v>
      </c>
      <c r="O35" s="78"/>
    </row>
    <row r="36" spans="1:15" s="135" customFormat="1" x14ac:dyDescent="0.35">
      <c r="A36" s="189"/>
      <c r="B36" s="189"/>
      <c r="C36" s="192"/>
      <c r="D36" s="37"/>
      <c r="E36" s="37"/>
      <c r="F36" s="37"/>
      <c r="G36" s="36">
        <f t="shared" si="8"/>
        <v>0</v>
      </c>
      <c r="H36" s="193"/>
      <c r="I36" s="193"/>
      <c r="J36" s="193"/>
      <c r="K36" s="37">
        <f t="shared" si="9"/>
        <v>0</v>
      </c>
      <c r="L36" s="37">
        <f t="shared" si="10"/>
        <v>0</v>
      </c>
      <c r="M36" s="37">
        <f t="shared" si="11"/>
        <v>0</v>
      </c>
      <c r="N36" s="37">
        <f t="shared" si="12"/>
        <v>0</v>
      </c>
      <c r="O36" s="78"/>
    </row>
    <row r="37" spans="1:15" s="135" customFormat="1" x14ac:dyDescent="0.35">
      <c r="A37" s="189"/>
      <c r="B37" s="189"/>
      <c r="C37" s="192"/>
      <c r="D37" s="37"/>
      <c r="E37" s="37"/>
      <c r="F37" s="37"/>
      <c r="G37" s="36">
        <f t="shared" si="8"/>
        <v>0</v>
      </c>
      <c r="H37" s="193"/>
      <c r="I37" s="193"/>
      <c r="J37" s="193"/>
      <c r="K37" s="37">
        <f t="shared" si="9"/>
        <v>0</v>
      </c>
      <c r="L37" s="37">
        <f t="shared" si="10"/>
        <v>0</v>
      </c>
      <c r="M37" s="37">
        <f t="shared" si="11"/>
        <v>0</v>
      </c>
      <c r="N37" s="37">
        <f t="shared" si="12"/>
        <v>0</v>
      </c>
      <c r="O37" s="78"/>
    </row>
    <row r="38" spans="1:15" s="135" customFormat="1" x14ac:dyDescent="0.35">
      <c r="A38" s="189"/>
      <c r="B38" s="189"/>
      <c r="C38" s="192"/>
      <c r="D38" s="37"/>
      <c r="E38" s="37"/>
      <c r="F38" s="37"/>
      <c r="G38" s="36">
        <f t="shared" si="8"/>
        <v>0</v>
      </c>
      <c r="H38" s="193"/>
      <c r="I38" s="193"/>
      <c r="J38" s="193"/>
      <c r="K38" s="37">
        <f t="shared" si="9"/>
        <v>0</v>
      </c>
      <c r="L38" s="37">
        <f t="shared" si="10"/>
        <v>0</v>
      </c>
      <c r="M38" s="37">
        <f t="shared" si="11"/>
        <v>0</v>
      </c>
      <c r="N38" s="37">
        <f t="shared" si="12"/>
        <v>0</v>
      </c>
      <c r="O38" s="78"/>
    </row>
    <row r="39" spans="1:15" s="135" customFormat="1" x14ac:dyDescent="0.35">
      <c r="A39" s="189"/>
      <c r="B39" s="33" t="s">
        <v>95</v>
      </c>
      <c r="C39" s="33" t="s">
        <v>96</v>
      </c>
      <c r="D39" s="190"/>
      <c r="E39" s="190"/>
      <c r="F39" s="190"/>
      <c r="G39" s="190"/>
      <c r="H39" s="34"/>
      <c r="I39" s="34"/>
      <c r="J39" s="34"/>
      <c r="K39" s="191"/>
      <c r="L39" s="191"/>
      <c r="M39" s="191"/>
      <c r="N39" s="191"/>
      <c r="O39" s="78"/>
    </row>
    <row r="40" spans="1:15" s="135" customFormat="1" x14ac:dyDescent="0.35">
      <c r="A40" s="189" t="s">
        <v>93</v>
      </c>
      <c r="B40" s="190" t="s">
        <v>97</v>
      </c>
      <c r="C40" s="192" t="s">
        <v>96</v>
      </c>
      <c r="D40" s="35"/>
      <c r="E40" s="35"/>
      <c r="F40" s="35"/>
      <c r="G40" s="36">
        <f t="shared" ref="G40:G44" si="13">IFERROR(ROUND(($F40/$E40)-1,3),0)</f>
        <v>0</v>
      </c>
      <c r="H40" s="193"/>
      <c r="I40" s="193"/>
      <c r="J40" s="193"/>
      <c r="K40" s="37">
        <f t="shared" ref="K40:K44" si="14">IFERROR(ROUND((($D40*$H40)+($D40*$I40*0.8)+($D40*$J40*0.9)),2),0)</f>
        <v>0</v>
      </c>
      <c r="L40" s="37">
        <f t="shared" ref="L40:L44" si="15">IFERROR(ROUND((($E40*$H40)+($E40*$I40*0.8)+($E40*$J40*0.9)),2),0)</f>
        <v>0</v>
      </c>
      <c r="M40" s="37">
        <f t="shared" ref="M40:M44" si="16">IFERROR(ROUND((($F40*$H40)+($F40*$I40*0.8)+($F40*$J40*0.9)),2),0)</f>
        <v>0</v>
      </c>
      <c r="N40" s="37">
        <f t="shared" ref="N40:N44" si="17">IFERROR(ROUND($M40-$L40,2),0)</f>
        <v>0</v>
      </c>
      <c r="O40" s="78"/>
    </row>
    <row r="41" spans="1:15" s="135" customFormat="1" x14ac:dyDescent="0.35">
      <c r="A41" s="189"/>
      <c r="B41" s="190"/>
      <c r="C41" s="192"/>
      <c r="D41" s="35"/>
      <c r="E41" s="35"/>
      <c r="F41" s="35"/>
      <c r="G41" s="36">
        <f t="shared" si="13"/>
        <v>0</v>
      </c>
      <c r="H41" s="34"/>
      <c r="I41" s="34"/>
      <c r="J41" s="34"/>
      <c r="K41" s="37">
        <f t="shared" si="14"/>
        <v>0</v>
      </c>
      <c r="L41" s="37">
        <f t="shared" si="15"/>
        <v>0</v>
      </c>
      <c r="M41" s="37">
        <f t="shared" si="16"/>
        <v>0</v>
      </c>
      <c r="N41" s="37">
        <f t="shared" si="17"/>
        <v>0</v>
      </c>
      <c r="O41" s="78"/>
    </row>
    <row r="42" spans="1:15" s="135" customFormat="1" x14ac:dyDescent="0.35">
      <c r="A42" s="189"/>
      <c r="B42" s="190"/>
      <c r="C42" s="192"/>
      <c r="D42" s="35"/>
      <c r="E42" s="35"/>
      <c r="F42" s="35"/>
      <c r="G42" s="36">
        <f t="shared" si="13"/>
        <v>0</v>
      </c>
      <c r="H42" s="34"/>
      <c r="I42" s="34"/>
      <c r="J42" s="34"/>
      <c r="K42" s="37">
        <f t="shared" si="14"/>
        <v>0</v>
      </c>
      <c r="L42" s="37">
        <f t="shared" si="15"/>
        <v>0</v>
      </c>
      <c r="M42" s="37">
        <f t="shared" si="16"/>
        <v>0</v>
      </c>
      <c r="N42" s="37">
        <f t="shared" si="17"/>
        <v>0</v>
      </c>
      <c r="O42" s="78"/>
    </row>
    <row r="43" spans="1:15" s="135" customFormat="1" x14ac:dyDescent="0.35">
      <c r="A43" s="189"/>
      <c r="B43" s="190"/>
      <c r="C43" s="192"/>
      <c r="D43" s="35"/>
      <c r="E43" s="35"/>
      <c r="F43" s="35"/>
      <c r="G43" s="36">
        <f t="shared" si="13"/>
        <v>0</v>
      </c>
      <c r="H43" s="34"/>
      <c r="I43" s="34"/>
      <c r="J43" s="34"/>
      <c r="K43" s="37">
        <f t="shared" si="14"/>
        <v>0</v>
      </c>
      <c r="L43" s="37">
        <f t="shared" si="15"/>
        <v>0</v>
      </c>
      <c r="M43" s="37">
        <f t="shared" si="16"/>
        <v>0</v>
      </c>
      <c r="N43" s="37">
        <f t="shared" si="17"/>
        <v>0</v>
      </c>
      <c r="O43" s="78"/>
    </row>
    <row r="44" spans="1:15" s="135" customFormat="1" x14ac:dyDescent="0.35">
      <c r="A44" s="189"/>
      <c r="B44" s="190"/>
      <c r="C44" s="192"/>
      <c r="D44" s="35"/>
      <c r="E44" s="35"/>
      <c r="F44" s="35"/>
      <c r="G44" s="36">
        <f t="shared" si="13"/>
        <v>0</v>
      </c>
      <c r="H44" s="34"/>
      <c r="I44" s="34"/>
      <c r="J44" s="34"/>
      <c r="K44" s="37">
        <f t="shared" si="14"/>
        <v>0</v>
      </c>
      <c r="L44" s="37">
        <f t="shared" si="15"/>
        <v>0</v>
      </c>
      <c r="M44" s="37">
        <f t="shared" si="16"/>
        <v>0</v>
      </c>
      <c r="N44" s="37">
        <f t="shared" si="17"/>
        <v>0</v>
      </c>
      <c r="O44" s="78"/>
    </row>
    <row r="45" spans="1:15" s="135" customFormat="1" x14ac:dyDescent="0.35">
      <c r="A45" s="189"/>
      <c r="B45" s="33" t="s">
        <v>98</v>
      </c>
      <c r="C45" s="33" t="s">
        <v>99</v>
      </c>
      <c r="D45" s="190"/>
      <c r="E45" s="190"/>
      <c r="F45" s="190"/>
      <c r="G45" s="190"/>
      <c r="H45" s="34"/>
      <c r="I45" s="34"/>
      <c r="J45" s="34"/>
      <c r="K45" s="191"/>
      <c r="L45" s="191"/>
      <c r="M45" s="191"/>
      <c r="N45" s="191"/>
      <c r="O45" s="78"/>
    </row>
    <row r="46" spans="1:15" s="135" customFormat="1" x14ac:dyDescent="0.35">
      <c r="A46" s="189" t="s">
        <v>93</v>
      </c>
      <c r="B46" s="189" t="s">
        <v>100</v>
      </c>
      <c r="C46" s="192" t="s">
        <v>99</v>
      </c>
      <c r="D46" s="37"/>
      <c r="E46" s="37"/>
      <c r="F46" s="37"/>
      <c r="G46" s="36">
        <f t="shared" ref="G46:G50" si="18">IFERROR(ROUND(($F46/$E46)-1,3),0)</f>
        <v>0</v>
      </c>
      <c r="H46" s="193"/>
      <c r="I46" s="193"/>
      <c r="J46" s="193"/>
      <c r="K46" s="37">
        <f t="shared" ref="K46:K50" si="19">IFERROR(ROUND((($D46*$H46)+($D46*$I46*0.8)+($D46*$J46*0.9)),2),0)</f>
        <v>0</v>
      </c>
      <c r="L46" s="37">
        <f t="shared" ref="L46:L50" si="20">IFERROR(ROUND((($E46*$H46)+($E46*$I46*0.8)+($E46*$J46*0.9)),2),0)</f>
        <v>0</v>
      </c>
      <c r="M46" s="37">
        <f t="shared" ref="M46:M50" si="21">IFERROR(ROUND((($F46*$H46)+($F46*$I46*0.8)+($F46*$J46*0.9)),2),0)</f>
        <v>0</v>
      </c>
      <c r="N46" s="37">
        <f t="shared" ref="N46:N50" si="22">IFERROR(ROUND($M46-$L46,2),0)</f>
        <v>0</v>
      </c>
      <c r="O46" s="78"/>
    </row>
    <row r="47" spans="1:15" s="135" customFormat="1" x14ac:dyDescent="0.35">
      <c r="A47" s="189"/>
      <c r="B47" s="189"/>
      <c r="C47" s="192"/>
      <c r="D47" s="37"/>
      <c r="E47" s="37"/>
      <c r="F47" s="37"/>
      <c r="G47" s="36">
        <f t="shared" si="18"/>
        <v>0</v>
      </c>
      <c r="H47" s="193"/>
      <c r="I47" s="193"/>
      <c r="J47" s="193"/>
      <c r="K47" s="37">
        <f t="shared" si="19"/>
        <v>0</v>
      </c>
      <c r="L47" s="37">
        <f t="shared" si="20"/>
        <v>0</v>
      </c>
      <c r="M47" s="37">
        <f t="shared" si="21"/>
        <v>0</v>
      </c>
      <c r="N47" s="37">
        <f t="shared" si="22"/>
        <v>0</v>
      </c>
      <c r="O47" s="78"/>
    </row>
    <row r="48" spans="1:15" s="135" customFormat="1" x14ac:dyDescent="0.35">
      <c r="A48" s="189"/>
      <c r="B48" s="189"/>
      <c r="C48" s="192"/>
      <c r="D48" s="37"/>
      <c r="E48" s="37"/>
      <c r="F48" s="37"/>
      <c r="G48" s="36">
        <f t="shared" si="18"/>
        <v>0</v>
      </c>
      <c r="H48" s="193"/>
      <c r="I48" s="193"/>
      <c r="J48" s="193"/>
      <c r="K48" s="37">
        <f t="shared" si="19"/>
        <v>0</v>
      </c>
      <c r="L48" s="37">
        <f t="shared" si="20"/>
        <v>0</v>
      </c>
      <c r="M48" s="37">
        <f t="shared" si="21"/>
        <v>0</v>
      </c>
      <c r="N48" s="37">
        <f t="shared" si="22"/>
        <v>0</v>
      </c>
      <c r="O48" s="78"/>
    </row>
    <row r="49" spans="1:15" s="135" customFormat="1" x14ac:dyDescent="0.35">
      <c r="A49" s="189"/>
      <c r="B49" s="189"/>
      <c r="C49" s="192"/>
      <c r="D49" s="37"/>
      <c r="E49" s="37"/>
      <c r="F49" s="37"/>
      <c r="G49" s="36">
        <f t="shared" si="18"/>
        <v>0</v>
      </c>
      <c r="H49" s="193"/>
      <c r="I49" s="193"/>
      <c r="J49" s="193"/>
      <c r="K49" s="37">
        <f t="shared" si="19"/>
        <v>0</v>
      </c>
      <c r="L49" s="37">
        <f t="shared" si="20"/>
        <v>0</v>
      </c>
      <c r="M49" s="37">
        <f t="shared" si="21"/>
        <v>0</v>
      </c>
      <c r="N49" s="37">
        <f t="shared" si="22"/>
        <v>0</v>
      </c>
      <c r="O49" s="78"/>
    </row>
    <row r="50" spans="1:15" s="135" customFormat="1" x14ac:dyDescent="0.35">
      <c r="A50" s="189"/>
      <c r="B50" s="189"/>
      <c r="C50" s="192"/>
      <c r="D50" s="37"/>
      <c r="E50" s="37"/>
      <c r="F50" s="37"/>
      <c r="G50" s="36">
        <f t="shared" si="18"/>
        <v>0</v>
      </c>
      <c r="H50" s="193"/>
      <c r="I50" s="193"/>
      <c r="J50" s="193"/>
      <c r="K50" s="37">
        <f t="shared" si="19"/>
        <v>0</v>
      </c>
      <c r="L50" s="37">
        <f t="shared" si="20"/>
        <v>0</v>
      </c>
      <c r="M50" s="37">
        <f t="shared" si="21"/>
        <v>0</v>
      </c>
      <c r="N50" s="37">
        <f t="shared" si="22"/>
        <v>0</v>
      </c>
      <c r="O50" s="78"/>
    </row>
    <row r="51" spans="1:15" s="135" customFormat="1" x14ac:dyDescent="0.35">
      <c r="A51" s="189"/>
      <c r="B51" s="33" t="s">
        <v>101</v>
      </c>
      <c r="C51" s="33" t="s">
        <v>102</v>
      </c>
      <c r="D51" s="190"/>
      <c r="E51" s="190"/>
      <c r="F51" s="190"/>
      <c r="G51" s="190"/>
      <c r="H51" s="34"/>
      <c r="I51" s="34"/>
      <c r="J51" s="34"/>
      <c r="K51" s="191"/>
      <c r="L51" s="191"/>
      <c r="M51" s="191"/>
      <c r="N51" s="191"/>
      <c r="O51" s="78"/>
    </row>
    <row r="52" spans="1:15" s="135" customFormat="1" x14ac:dyDescent="0.35">
      <c r="A52" s="189" t="s">
        <v>93</v>
      </c>
      <c r="B52" s="189" t="s">
        <v>103</v>
      </c>
      <c r="C52" s="192" t="s">
        <v>102</v>
      </c>
      <c r="D52" s="37"/>
      <c r="E52" s="37"/>
      <c r="F52" s="37"/>
      <c r="G52" s="36">
        <f t="shared" ref="G52:G56" si="23">IFERROR(ROUND(($F52/$E52)-1,3),0)</f>
        <v>0</v>
      </c>
      <c r="H52" s="193"/>
      <c r="I52" s="193"/>
      <c r="J52" s="193"/>
      <c r="K52" s="37">
        <f t="shared" ref="K52:K56" si="24">IFERROR(ROUND((($D52*$H52)+($D52*$I52*0.8)+($D52*$J52*0.9)),2),0)</f>
        <v>0</v>
      </c>
      <c r="L52" s="37">
        <f t="shared" ref="L52:L56" si="25">IFERROR(ROUND((($E52*$H52)+($E52*$I52*0.8)+($E52*$J52*0.9)),2),0)</f>
        <v>0</v>
      </c>
      <c r="M52" s="37">
        <f t="shared" ref="M52:M56" si="26">IFERROR(ROUND((($F52*$H52)+($F52*$I52*0.8)+($F52*$J52*0.9)),2),0)</f>
        <v>0</v>
      </c>
      <c r="N52" s="37">
        <f t="shared" ref="N52:N56" si="27">IFERROR(ROUND($M52-$L52,2),0)</f>
        <v>0</v>
      </c>
      <c r="O52" s="78"/>
    </row>
    <row r="53" spans="1:15" s="135" customFormat="1" x14ac:dyDescent="0.35">
      <c r="A53" s="189"/>
      <c r="B53" s="189"/>
      <c r="C53" s="192"/>
      <c r="D53" s="37"/>
      <c r="E53" s="37"/>
      <c r="F53" s="37"/>
      <c r="G53" s="36">
        <f t="shared" si="23"/>
        <v>0</v>
      </c>
      <c r="H53" s="193"/>
      <c r="I53" s="193"/>
      <c r="J53" s="193"/>
      <c r="K53" s="37">
        <f t="shared" si="24"/>
        <v>0</v>
      </c>
      <c r="L53" s="37">
        <f t="shared" si="25"/>
        <v>0</v>
      </c>
      <c r="M53" s="37">
        <f t="shared" si="26"/>
        <v>0</v>
      </c>
      <c r="N53" s="37">
        <f t="shared" si="27"/>
        <v>0</v>
      </c>
      <c r="O53" s="78"/>
    </row>
    <row r="54" spans="1:15" s="135" customFormat="1" x14ac:dyDescent="0.35">
      <c r="A54" s="189"/>
      <c r="B54" s="189"/>
      <c r="C54" s="192"/>
      <c r="D54" s="37"/>
      <c r="E54" s="37"/>
      <c r="F54" s="37"/>
      <c r="G54" s="36">
        <f t="shared" si="23"/>
        <v>0</v>
      </c>
      <c r="H54" s="193"/>
      <c r="I54" s="193"/>
      <c r="J54" s="193"/>
      <c r="K54" s="37">
        <f t="shared" si="24"/>
        <v>0</v>
      </c>
      <c r="L54" s="37">
        <f t="shared" si="25"/>
        <v>0</v>
      </c>
      <c r="M54" s="37">
        <f t="shared" si="26"/>
        <v>0</v>
      </c>
      <c r="N54" s="37">
        <f t="shared" si="27"/>
        <v>0</v>
      </c>
      <c r="O54" s="78"/>
    </row>
    <row r="55" spans="1:15" s="135" customFormat="1" x14ac:dyDescent="0.35">
      <c r="A55" s="189"/>
      <c r="B55" s="189"/>
      <c r="C55" s="192"/>
      <c r="D55" s="37"/>
      <c r="E55" s="37"/>
      <c r="F55" s="37"/>
      <c r="G55" s="36">
        <f t="shared" si="23"/>
        <v>0</v>
      </c>
      <c r="H55" s="193"/>
      <c r="I55" s="193"/>
      <c r="J55" s="193"/>
      <c r="K55" s="37">
        <f t="shared" si="24"/>
        <v>0</v>
      </c>
      <c r="L55" s="37">
        <f t="shared" si="25"/>
        <v>0</v>
      </c>
      <c r="M55" s="37">
        <f t="shared" si="26"/>
        <v>0</v>
      </c>
      <c r="N55" s="37">
        <f t="shared" si="27"/>
        <v>0</v>
      </c>
      <c r="O55" s="78"/>
    </row>
    <row r="56" spans="1:15" s="135" customFormat="1" x14ac:dyDescent="0.35">
      <c r="A56" s="189"/>
      <c r="B56" s="189"/>
      <c r="C56" s="192"/>
      <c r="D56" s="37"/>
      <c r="E56" s="37"/>
      <c r="F56" s="37"/>
      <c r="G56" s="36">
        <f t="shared" si="23"/>
        <v>0</v>
      </c>
      <c r="H56" s="193"/>
      <c r="I56" s="193"/>
      <c r="J56" s="193"/>
      <c r="K56" s="37">
        <f t="shared" si="24"/>
        <v>0</v>
      </c>
      <c r="L56" s="37">
        <f t="shared" si="25"/>
        <v>0</v>
      </c>
      <c r="M56" s="37">
        <f t="shared" si="26"/>
        <v>0</v>
      </c>
      <c r="N56" s="37">
        <f t="shared" si="27"/>
        <v>0</v>
      </c>
      <c r="O56" s="78"/>
    </row>
    <row r="57" spans="1:15" s="135" customFormat="1" x14ac:dyDescent="0.35">
      <c r="A57" s="189"/>
      <c r="B57" s="33" t="s">
        <v>104</v>
      </c>
      <c r="C57" s="33" t="s">
        <v>105</v>
      </c>
      <c r="D57" s="190"/>
      <c r="E57" s="190"/>
      <c r="F57" s="190"/>
      <c r="G57" s="190"/>
      <c r="H57" s="34"/>
      <c r="I57" s="34"/>
      <c r="J57" s="34"/>
      <c r="K57" s="191"/>
      <c r="L57" s="191"/>
      <c r="M57" s="191"/>
      <c r="N57" s="191"/>
      <c r="O57" s="78"/>
    </row>
    <row r="58" spans="1:15" s="135" customFormat="1" x14ac:dyDescent="0.35">
      <c r="A58" s="189" t="s">
        <v>93</v>
      </c>
      <c r="B58" s="189" t="s">
        <v>106</v>
      </c>
      <c r="C58" s="192" t="s">
        <v>105</v>
      </c>
      <c r="D58" s="37"/>
      <c r="E58" s="37"/>
      <c r="F58" s="37"/>
      <c r="G58" s="36">
        <f t="shared" ref="G58:G62" si="28">IFERROR(ROUND(($F58/$E58)-1,3),0)</f>
        <v>0</v>
      </c>
      <c r="H58" s="193"/>
      <c r="I58" s="193"/>
      <c r="J58" s="193"/>
      <c r="K58" s="37">
        <f t="shared" ref="K58:K62" si="29">IFERROR(ROUND((($D58*$H58)+($D58*$I58*0.8)+($D58*$J58*0.9)),2),0)</f>
        <v>0</v>
      </c>
      <c r="L58" s="37">
        <f t="shared" ref="L58:L62" si="30">IFERROR(ROUND((($E58*$H58)+($E58*$I58*0.8)+($E58*$J58*0.9)),2),0)</f>
        <v>0</v>
      </c>
      <c r="M58" s="37">
        <f t="shared" ref="M58:M62" si="31">IFERROR(ROUND((($F58*$H58)+($F58*$I58*0.8)+($F58*$J58*0.9)),2),0)</f>
        <v>0</v>
      </c>
      <c r="N58" s="37">
        <f t="shared" ref="N58:N62" si="32">IFERROR(ROUND($M58-$L58,2),0)</f>
        <v>0</v>
      </c>
      <c r="O58" s="78"/>
    </row>
    <row r="59" spans="1:15" s="135" customFormat="1" x14ac:dyDescent="0.35">
      <c r="A59" s="189"/>
      <c r="B59" s="189"/>
      <c r="C59" s="192"/>
      <c r="D59" s="37"/>
      <c r="E59" s="37"/>
      <c r="F59" s="37"/>
      <c r="G59" s="36">
        <f t="shared" si="28"/>
        <v>0</v>
      </c>
      <c r="H59" s="193"/>
      <c r="I59" s="193"/>
      <c r="J59" s="193"/>
      <c r="K59" s="37">
        <f t="shared" si="29"/>
        <v>0</v>
      </c>
      <c r="L59" s="37">
        <f t="shared" si="30"/>
        <v>0</v>
      </c>
      <c r="M59" s="37">
        <f t="shared" si="31"/>
        <v>0</v>
      </c>
      <c r="N59" s="37">
        <f t="shared" si="32"/>
        <v>0</v>
      </c>
      <c r="O59" s="78"/>
    </row>
    <row r="60" spans="1:15" s="135" customFormat="1" x14ac:dyDescent="0.35">
      <c r="A60" s="189"/>
      <c r="B60" s="189"/>
      <c r="C60" s="192"/>
      <c r="D60" s="37"/>
      <c r="E60" s="37"/>
      <c r="F60" s="37"/>
      <c r="G60" s="36">
        <f t="shared" si="28"/>
        <v>0</v>
      </c>
      <c r="H60" s="193"/>
      <c r="I60" s="193"/>
      <c r="J60" s="193"/>
      <c r="K60" s="37">
        <f t="shared" si="29"/>
        <v>0</v>
      </c>
      <c r="L60" s="37">
        <f t="shared" si="30"/>
        <v>0</v>
      </c>
      <c r="M60" s="37">
        <f t="shared" si="31"/>
        <v>0</v>
      </c>
      <c r="N60" s="37">
        <f t="shared" si="32"/>
        <v>0</v>
      </c>
      <c r="O60" s="77"/>
    </row>
    <row r="61" spans="1:15" s="135" customFormat="1" x14ac:dyDescent="0.35">
      <c r="A61" s="189"/>
      <c r="B61" s="189"/>
      <c r="C61" s="192"/>
      <c r="D61" s="37"/>
      <c r="E61" s="37"/>
      <c r="F61" s="37"/>
      <c r="G61" s="36">
        <f t="shared" si="28"/>
        <v>0</v>
      </c>
      <c r="H61" s="193"/>
      <c r="I61" s="193"/>
      <c r="J61" s="193"/>
      <c r="K61" s="37">
        <f t="shared" si="29"/>
        <v>0</v>
      </c>
      <c r="L61" s="37">
        <f t="shared" si="30"/>
        <v>0</v>
      </c>
      <c r="M61" s="37">
        <f t="shared" si="31"/>
        <v>0</v>
      </c>
      <c r="N61" s="37">
        <f t="shared" si="32"/>
        <v>0</v>
      </c>
      <c r="O61" s="78"/>
    </row>
    <row r="62" spans="1:15" s="135" customFormat="1" x14ac:dyDescent="0.35">
      <c r="A62" s="189"/>
      <c r="B62" s="189"/>
      <c r="C62" s="192"/>
      <c r="D62" s="37"/>
      <c r="E62" s="37"/>
      <c r="F62" s="37"/>
      <c r="G62" s="36">
        <f t="shared" si="28"/>
        <v>0</v>
      </c>
      <c r="H62" s="193"/>
      <c r="I62" s="193"/>
      <c r="J62" s="193"/>
      <c r="K62" s="37">
        <f t="shared" si="29"/>
        <v>0</v>
      </c>
      <c r="L62" s="37">
        <f t="shared" si="30"/>
        <v>0</v>
      </c>
      <c r="M62" s="37">
        <f t="shared" si="31"/>
        <v>0</v>
      </c>
      <c r="N62" s="37">
        <f t="shared" si="32"/>
        <v>0</v>
      </c>
      <c r="O62" s="77"/>
    </row>
    <row r="63" spans="1:15" s="135" customFormat="1" x14ac:dyDescent="0.35">
      <c r="A63" s="189"/>
      <c r="B63" s="33" t="s">
        <v>107</v>
      </c>
      <c r="C63" s="33" t="s">
        <v>108</v>
      </c>
      <c r="D63" s="190"/>
      <c r="E63" s="190"/>
      <c r="F63" s="190"/>
      <c r="G63" s="190"/>
      <c r="H63" s="34"/>
      <c r="I63" s="34"/>
      <c r="J63" s="34"/>
      <c r="K63" s="191"/>
      <c r="L63" s="191"/>
      <c r="M63" s="191"/>
      <c r="N63" s="191"/>
      <c r="O63" s="77"/>
    </row>
    <row r="64" spans="1:15" s="135" customFormat="1" x14ac:dyDescent="0.35">
      <c r="A64" s="189" t="s">
        <v>93</v>
      </c>
      <c r="B64" s="189" t="s">
        <v>109</v>
      </c>
      <c r="C64" s="192" t="s">
        <v>108</v>
      </c>
      <c r="D64" s="37"/>
      <c r="E64" s="37"/>
      <c r="F64" s="37"/>
      <c r="G64" s="36">
        <f t="shared" ref="G64:G68" si="33">IFERROR(ROUND(($F64/$E64)-1,3),0)</f>
        <v>0</v>
      </c>
      <c r="H64" s="193"/>
      <c r="I64" s="193"/>
      <c r="J64" s="193"/>
      <c r="K64" s="37">
        <f t="shared" ref="K64:K68" si="34">IFERROR(ROUND((($D64*$H64)+($D64*$I64*0.8)+($D64*$J64*0.9)),2),0)</f>
        <v>0</v>
      </c>
      <c r="L64" s="37">
        <f t="shared" ref="L64:L68" si="35">IFERROR(ROUND((($E64*$H64)+($E64*$I64*0.8)+($E64*$J64*0.9)),2),0)</f>
        <v>0</v>
      </c>
      <c r="M64" s="37">
        <f t="shared" ref="M64:M68" si="36">IFERROR(ROUND((($F64*$H64)+($F64*$I64*0.8)+($F64*$J64*0.9)),2),0)</f>
        <v>0</v>
      </c>
      <c r="N64" s="37">
        <f t="shared" ref="N64:N68" si="37">IFERROR(ROUND($M64-$L64,2),0)</f>
        <v>0</v>
      </c>
      <c r="O64" s="78"/>
    </row>
    <row r="65" spans="1:15" s="135" customFormat="1" x14ac:dyDescent="0.35">
      <c r="A65" s="189"/>
      <c r="B65" s="189"/>
      <c r="C65" s="192"/>
      <c r="D65" s="37"/>
      <c r="E65" s="37"/>
      <c r="F65" s="37"/>
      <c r="G65" s="36">
        <f t="shared" si="33"/>
        <v>0</v>
      </c>
      <c r="H65" s="193"/>
      <c r="I65" s="193"/>
      <c r="J65" s="193"/>
      <c r="K65" s="37">
        <f t="shared" si="34"/>
        <v>0</v>
      </c>
      <c r="L65" s="37">
        <f t="shared" si="35"/>
        <v>0</v>
      </c>
      <c r="M65" s="37">
        <f t="shared" si="36"/>
        <v>0</v>
      </c>
      <c r="N65" s="37">
        <f t="shared" si="37"/>
        <v>0</v>
      </c>
      <c r="O65" s="78"/>
    </row>
    <row r="66" spans="1:15" s="135" customFormat="1" x14ac:dyDescent="0.35">
      <c r="A66" s="189"/>
      <c r="B66" s="189"/>
      <c r="C66" s="192"/>
      <c r="D66" s="37"/>
      <c r="E66" s="37"/>
      <c r="F66" s="37"/>
      <c r="G66" s="36">
        <f t="shared" si="33"/>
        <v>0</v>
      </c>
      <c r="H66" s="193"/>
      <c r="I66" s="193"/>
      <c r="J66" s="193"/>
      <c r="K66" s="37">
        <f t="shared" si="34"/>
        <v>0</v>
      </c>
      <c r="L66" s="37">
        <f t="shared" si="35"/>
        <v>0</v>
      </c>
      <c r="M66" s="37">
        <f t="shared" si="36"/>
        <v>0</v>
      </c>
      <c r="N66" s="37">
        <f t="shared" si="37"/>
        <v>0</v>
      </c>
      <c r="O66" s="78"/>
    </row>
    <row r="67" spans="1:15" s="135" customFormat="1" x14ac:dyDescent="0.35">
      <c r="A67" s="189"/>
      <c r="B67" s="189"/>
      <c r="C67" s="192"/>
      <c r="D67" s="37"/>
      <c r="E67" s="37"/>
      <c r="F67" s="37"/>
      <c r="G67" s="36">
        <f t="shared" si="33"/>
        <v>0</v>
      </c>
      <c r="H67" s="193"/>
      <c r="I67" s="193"/>
      <c r="J67" s="193"/>
      <c r="K67" s="37">
        <f t="shared" si="34"/>
        <v>0</v>
      </c>
      <c r="L67" s="37">
        <f t="shared" si="35"/>
        <v>0</v>
      </c>
      <c r="M67" s="37">
        <f t="shared" si="36"/>
        <v>0</v>
      </c>
      <c r="N67" s="37">
        <f t="shared" si="37"/>
        <v>0</v>
      </c>
      <c r="O67" s="78"/>
    </row>
    <row r="68" spans="1:15" s="135" customFormat="1" x14ac:dyDescent="0.35">
      <c r="A68" s="189"/>
      <c r="B68" s="189"/>
      <c r="C68" s="192"/>
      <c r="D68" s="37"/>
      <c r="E68" s="37"/>
      <c r="F68" s="37"/>
      <c r="G68" s="36">
        <f t="shared" si="33"/>
        <v>0</v>
      </c>
      <c r="H68" s="193"/>
      <c r="I68" s="193"/>
      <c r="J68" s="193"/>
      <c r="K68" s="37">
        <f t="shared" si="34"/>
        <v>0</v>
      </c>
      <c r="L68" s="37">
        <f t="shared" si="35"/>
        <v>0</v>
      </c>
      <c r="M68" s="37">
        <f t="shared" si="36"/>
        <v>0</v>
      </c>
      <c r="N68" s="37">
        <f t="shared" si="37"/>
        <v>0</v>
      </c>
      <c r="O68" s="78"/>
    </row>
    <row r="69" spans="1:15" s="135" customFormat="1" x14ac:dyDescent="0.35">
      <c r="A69" s="189"/>
      <c r="B69" s="33" t="s">
        <v>110</v>
      </c>
      <c r="C69" s="33" t="s">
        <v>111</v>
      </c>
      <c r="D69" s="190"/>
      <c r="E69" s="190"/>
      <c r="F69" s="190"/>
      <c r="G69" s="190"/>
      <c r="H69" s="34"/>
      <c r="I69" s="34"/>
      <c r="J69" s="34"/>
      <c r="K69" s="191"/>
      <c r="L69" s="191"/>
      <c r="M69" s="191"/>
      <c r="N69" s="191"/>
      <c r="O69" s="78"/>
    </row>
    <row r="70" spans="1:15" s="135" customFormat="1" x14ac:dyDescent="0.35">
      <c r="A70" s="189" t="s">
        <v>93</v>
      </c>
      <c r="B70" s="189" t="s">
        <v>112</v>
      </c>
      <c r="C70" s="192" t="s">
        <v>111</v>
      </c>
      <c r="D70" s="37"/>
      <c r="E70" s="37"/>
      <c r="F70" s="37"/>
      <c r="G70" s="36">
        <f t="shared" ref="G70:G74" si="38">IFERROR(ROUND(($F70/$E70)-1,3),0)</f>
        <v>0</v>
      </c>
      <c r="H70" s="193"/>
      <c r="I70" s="193"/>
      <c r="J70" s="193"/>
      <c r="K70" s="37">
        <f t="shared" ref="K70:K74" si="39">IFERROR(ROUND((($D70*$H70)+($D70*$I70*0.8)+($D70*$J70*0.9)),2),0)</f>
        <v>0</v>
      </c>
      <c r="L70" s="37">
        <f t="shared" ref="L70:L74" si="40">IFERROR(ROUND((($E70*$H70)+($E70*$I70*0.8)+($E70*$J70*0.9)),2),0)</f>
        <v>0</v>
      </c>
      <c r="M70" s="37">
        <f t="shared" ref="M70:M74" si="41">IFERROR(ROUND((($F70*$H70)+($F70*$I70*0.8)+($F70*$J70*0.9)),2),0)</f>
        <v>0</v>
      </c>
      <c r="N70" s="37">
        <f t="shared" ref="N70:N74" si="42">IFERROR(ROUND($M70-$L70,2),0)</f>
        <v>0</v>
      </c>
      <c r="O70" s="78"/>
    </row>
    <row r="71" spans="1:15" s="135" customFormat="1" x14ac:dyDescent="0.35">
      <c r="A71" s="189"/>
      <c r="B71" s="189"/>
      <c r="C71" s="192"/>
      <c r="D71" s="37"/>
      <c r="E71" s="37"/>
      <c r="F71" s="37"/>
      <c r="G71" s="36">
        <f t="shared" si="38"/>
        <v>0</v>
      </c>
      <c r="H71" s="193"/>
      <c r="I71" s="193"/>
      <c r="J71" s="193"/>
      <c r="K71" s="37">
        <f t="shared" si="39"/>
        <v>0</v>
      </c>
      <c r="L71" s="37">
        <f t="shared" si="40"/>
        <v>0</v>
      </c>
      <c r="M71" s="37">
        <f t="shared" si="41"/>
        <v>0</v>
      </c>
      <c r="N71" s="37">
        <f t="shared" si="42"/>
        <v>0</v>
      </c>
      <c r="O71" s="78"/>
    </row>
    <row r="72" spans="1:15" s="135" customFormat="1" x14ac:dyDescent="0.35">
      <c r="A72" s="189"/>
      <c r="B72" s="189"/>
      <c r="C72" s="192"/>
      <c r="D72" s="37"/>
      <c r="E72" s="37"/>
      <c r="F72" s="37"/>
      <c r="G72" s="36">
        <f t="shared" si="38"/>
        <v>0</v>
      </c>
      <c r="H72" s="193"/>
      <c r="I72" s="193"/>
      <c r="J72" s="193"/>
      <c r="K72" s="37">
        <f t="shared" si="39"/>
        <v>0</v>
      </c>
      <c r="L72" s="37">
        <f t="shared" si="40"/>
        <v>0</v>
      </c>
      <c r="M72" s="37">
        <f t="shared" si="41"/>
        <v>0</v>
      </c>
      <c r="N72" s="37">
        <f t="shared" si="42"/>
        <v>0</v>
      </c>
      <c r="O72" s="78"/>
    </row>
    <row r="73" spans="1:15" s="135" customFormat="1" x14ac:dyDescent="0.35">
      <c r="A73" s="189"/>
      <c r="B73" s="189"/>
      <c r="C73" s="192"/>
      <c r="D73" s="37"/>
      <c r="E73" s="37"/>
      <c r="F73" s="37"/>
      <c r="G73" s="36">
        <f t="shared" si="38"/>
        <v>0</v>
      </c>
      <c r="H73" s="193"/>
      <c r="I73" s="193"/>
      <c r="J73" s="193"/>
      <c r="K73" s="37">
        <f t="shared" si="39"/>
        <v>0</v>
      </c>
      <c r="L73" s="37">
        <f t="shared" si="40"/>
        <v>0</v>
      </c>
      <c r="M73" s="37">
        <f t="shared" si="41"/>
        <v>0</v>
      </c>
      <c r="N73" s="37">
        <f t="shared" si="42"/>
        <v>0</v>
      </c>
      <c r="O73" s="78"/>
    </row>
    <row r="74" spans="1:15" s="135" customFormat="1" x14ac:dyDescent="0.35">
      <c r="A74" s="189"/>
      <c r="B74" s="189"/>
      <c r="C74" s="192"/>
      <c r="D74" s="37"/>
      <c r="E74" s="37"/>
      <c r="F74" s="37"/>
      <c r="G74" s="36">
        <f t="shared" si="38"/>
        <v>0</v>
      </c>
      <c r="H74" s="193"/>
      <c r="I74" s="193"/>
      <c r="J74" s="193"/>
      <c r="K74" s="37">
        <f t="shared" si="39"/>
        <v>0</v>
      </c>
      <c r="L74" s="37">
        <f t="shared" si="40"/>
        <v>0</v>
      </c>
      <c r="M74" s="37">
        <f t="shared" si="41"/>
        <v>0</v>
      </c>
      <c r="N74" s="37">
        <f t="shared" si="42"/>
        <v>0</v>
      </c>
      <c r="O74" s="78"/>
    </row>
    <row r="75" spans="1:15" s="135" customFormat="1" x14ac:dyDescent="0.35">
      <c r="A75" s="189"/>
      <c r="B75" s="33" t="s">
        <v>113</v>
      </c>
      <c r="C75" s="33" t="s">
        <v>114</v>
      </c>
      <c r="D75" s="190"/>
      <c r="E75" s="190"/>
      <c r="F75" s="190"/>
      <c r="G75" s="190"/>
      <c r="H75" s="34"/>
      <c r="I75" s="34"/>
      <c r="J75" s="34"/>
      <c r="K75" s="191"/>
      <c r="L75" s="191"/>
      <c r="M75" s="191"/>
      <c r="N75" s="191"/>
      <c r="O75" s="78"/>
    </row>
    <row r="76" spans="1:15" s="135" customFormat="1" x14ac:dyDescent="0.35">
      <c r="A76" s="189" t="s">
        <v>93</v>
      </c>
      <c r="B76" s="189" t="s">
        <v>115</v>
      </c>
      <c r="C76" s="192" t="s">
        <v>114</v>
      </c>
      <c r="D76" s="37"/>
      <c r="E76" s="37"/>
      <c r="F76" s="37"/>
      <c r="G76" s="36">
        <f t="shared" ref="G76:G80" si="43">IFERROR(ROUND(($F76/$E76)-1,3),0)</f>
        <v>0</v>
      </c>
      <c r="H76" s="193"/>
      <c r="I76" s="193"/>
      <c r="J76" s="193"/>
      <c r="K76" s="37">
        <f t="shared" ref="K76:K80" si="44">IFERROR(ROUND((($D76*$H76)+($D76*$I76*0.8)+($D76*$J76*0.9)),2),0)</f>
        <v>0</v>
      </c>
      <c r="L76" s="37">
        <f t="shared" ref="L76:L80" si="45">IFERROR(ROUND((($E76*$H76)+($E76*$I76*0.8)+($E76*$J76*0.9)),2),0)</f>
        <v>0</v>
      </c>
      <c r="M76" s="37">
        <f t="shared" ref="M76:M80" si="46">IFERROR(ROUND((($F76*$H76)+($F76*$I76*0.8)+($F76*$J76*0.9)),2),0)</f>
        <v>0</v>
      </c>
      <c r="N76" s="37">
        <f t="shared" ref="N76:N80" si="47">IFERROR(ROUND($M76-$L76,2),0)</f>
        <v>0</v>
      </c>
      <c r="O76" s="78"/>
    </row>
    <row r="77" spans="1:15" s="135" customFormat="1" x14ac:dyDescent="0.35">
      <c r="A77" s="189"/>
      <c r="B77" s="189"/>
      <c r="C77" s="192"/>
      <c r="D77" s="37"/>
      <c r="E77" s="37"/>
      <c r="F77" s="37"/>
      <c r="G77" s="36">
        <f t="shared" si="43"/>
        <v>0</v>
      </c>
      <c r="H77" s="193"/>
      <c r="I77" s="193"/>
      <c r="J77" s="193"/>
      <c r="K77" s="37">
        <f t="shared" si="44"/>
        <v>0</v>
      </c>
      <c r="L77" s="37">
        <f t="shared" si="45"/>
        <v>0</v>
      </c>
      <c r="M77" s="37">
        <f t="shared" si="46"/>
        <v>0</v>
      </c>
      <c r="N77" s="37">
        <f t="shared" si="47"/>
        <v>0</v>
      </c>
      <c r="O77" s="78"/>
    </row>
    <row r="78" spans="1:15" s="135" customFormat="1" x14ac:dyDescent="0.35">
      <c r="A78" s="189"/>
      <c r="B78" s="189"/>
      <c r="C78" s="192"/>
      <c r="D78" s="37"/>
      <c r="E78" s="37"/>
      <c r="F78" s="37"/>
      <c r="G78" s="36">
        <f t="shared" si="43"/>
        <v>0</v>
      </c>
      <c r="H78" s="193"/>
      <c r="I78" s="193"/>
      <c r="J78" s="193"/>
      <c r="K78" s="37">
        <f t="shared" si="44"/>
        <v>0</v>
      </c>
      <c r="L78" s="37">
        <f t="shared" si="45"/>
        <v>0</v>
      </c>
      <c r="M78" s="37">
        <f t="shared" si="46"/>
        <v>0</v>
      </c>
      <c r="N78" s="37">
        <f t="shared" si="47"/>
        <v>0</v>
      </c>
      <c r="O78" s="78"/>
    </row>
    <row r="79" spans="1:15" s="135" customFormat="1" x14ac:dyDescent="0.35">
      <c r="A79" s="189"/>
      <c r="B79" s="189"/>
      <c r="C79" s="192"/>
      <c r="D79" s="37"/>
      <c r="E79" s="37"/>
      <c r="F79" s="37"/>
      <c r="G79" s="36">
        <f t="shared" si="43"/>
        <v>0</v>
      </c>
      <c r="H79" s="193"/>
      <c r="I79" s="193"/>
      <c r="J79" s="193"/>
      <c r="K79" s="37">
        <f t="shared" si="44"/>
        <v>0</v>
      </c>
      <c r="L79" s="37">
        <f t="shared" si="45"/>
        <v>0</v>
      </c>
      <c r="M79" s="37">
        <f t="shared" si="46"/>
        <v>0</v>
      </c>
      <c r="N79" s="37">
        <f t="shared" si="47"/>
        <v>0</v>
      </c>
      <c r="O79" s="78"/>
    </row>
    <row r="80" spans="1:15" s="135" customFormat="1" x14ac:dyDescent="0.35">
      <c r="A80" s="189"/>
      <c r="B80" s="189"/>
      <c r="C80" s="192"/>
      <c r="D80" s="37"/>
      <c r="E80" s="37"/>
      <c r="F80" s="37"/>
      <c r="G80" s="36">
        <f t="shared" si="43"/>
        <v>0</v>
      </c>
      <c r="H80" s="193"/>
      <c r="I80" s="193"/>
      <c r="J80" s="193"/>
      <c r="K80" s="37">
        <f t="shared" si="44"/>
        <v>0</v>
      </c>
      <c r="L80" s="37">
        <f t="shared" si="45"/>
        <v>0</v>
      </c>
      <c r="M80" s="37">
        <f t="shared" si="46"/>
        <v>0</v>
      </c>
      <c r="N80" s="37">
        <f t="shared" si="47"/>
        <v>0</v>
      </c>
      <c r="O80" s="78"/>
    </row>
    <row r="81" spans="1:15" s="135" customFormat="1" x14ac:dyDescent="0.35">
      <c r="A81" s="189"/>
      <c r="B81" s="33" t="s">
        <v>116</v>
      </c>
      <c r="C81" s="33" t="s">
        <v>117</v>
      </c>
      <c r="D81" s="190"/>
      <c r="E81" s="190"/>
      <c r="F81" s="190"/>
      <c r="G81" s="190"/>
      <c r="H81" s="34"/>
      <c r="I81" s="34"/>
      <c r="J81" s="34"/>
      <c r="K81" s="191"/>
      <c r="L81" s="191"/>
      <c r="M81" s="191"/>
      <c r="N81" s="191"/>
      <c r="O81" s="78"/>
    </row>
    <row r="82" spans="1:15" s="135" customFormat="1" x14ac:dyDescent="0.35">
      <c r="A82" s="189" t="s">
        <v>93</v>
      </c>
      <c r="B82" s="190" t="s">
        <v>118</v>
      </c>
      <c r="C82" s="192" t="s">
        <v>117</v>
      </c>
      <c r="D82" s="35"/>
      <c r="E82" s="35"/>
      <c r="F82" s="35"/>
      <c r="G82" s="36">
        <f t="shared" ref="G82:G86" si="48">IFERROR(ROUND(($F82/$E82)-1,3),0)</f>
        <v>0</v>
      </c>
      <c r="H82" s="193"/>
      <c r="I82" s="193"/>
      <c r="J82" s="193"/>
      <c r="K82" s="37">
        <f t="shared" ref="K82:K86" si="49">IFERROR(ROUND((($D82*$H82)+($D82*$I82*0.8)+($D82*$J82*0.9)),2),0)</f>
        <v>0</v>
      </c>
      <c r="L82" s="37">
        <f t="shared" ref="L82:L86" si="50">IFERROR(ROUND((($E82*$H82)+($E82*$I82*0.8)+($E82*$J82*0.9)),2),0)</f>
        <v>0</v>
      </c>
      <c r="M82" s="37">
        <f t="shared" ref="M82:M86" si="51">IFERROR(ROUND((($F82*$H82)+($F82*$I82*0.8)+($F82*$J82*0.9)),2),0)</f>
        <v>0</v>
      </c>
      <c r="N82" s="37">
        <f t="shared" ref="N82:N86" si="52">IFERROR(ROUND($M82-$L82,2),0)</f>
        <v>0</v>
      </c>
      <c r="O82" s="78"/>
    </row>
    <row r="83" spans="1:15" s="135" customFormat="1" x14ac:dyDescent="0.35">
      <c r="A83" s="189"/>
      <c r="B83" s="189"/>
      <c r="C83" s="192"/>
      <c r="D83" s="37"/>
      <c r="E83" s="37"/>
      <c r="F83" s="37"/>
      <c r="G83" s="36">
        <f t="shared" si="48"/>
        <v>0</v>
      </c>
      <c r="H83" s="193"/>
      <c r="I83" s="193"/>
      <c r="J83" s="193"/>
      <c r="K83" s="37">
        <f t="shared" si="49"/>
        <v>0</v>
      </c>
      <c r="L83" s="37">
        <f t="shared" si="50"/>
        <v>0</v>
      </c>
      <c r="M83" s="37">
        <f t="shared" si="51"/>
        <v>0</v>
      </c>
      <c r="N83" s="37">
        <f t="shared" si="52"/>
        <v>0</v>
      </c>
      <c r="O83" s="78"/>
    </row>
    <row r="84" spans="1:15" s="135" customFormat="1" x14ac:dyDescent="0.35">
      <c r="A84" s="189"/>
      <c r="B84" s="189"/>
      <c r="C84" s="192"/>
      <c r="D84" s="37"/>
      <c r="E84" s="37"/>
      <c r="F84" s="37"/>
      <c r="G84" s="36">
        <f t="shared" si="48"/>
        <v>0</v>
      </c>
      <c r="H84" s="193"/>
      <c r="I84" s="193"/>
      <c r="J84" s="193"/>
      <c r="K84" s="37">
        <f t="shared" si="49"/>
        <v>0</v>
      </c>
      <c r="L84" s="37">
        <f t="shared" si="50"/>
        <v>0</v>
      </c>
      <c r="M84" s="37">
        <f t="shared" si="51"/>
        <v>0</v>
      </c>
      <c r="N84" s="37">
        <f t="shared" si="52"/>
        <v>0</v>
      </c>
      <c r="O84" s="78"/>
    </row>
    <row r="85" spans="1:15" s="135" customFormat="1" x14ac:dyDescent="0.35">
      <c r="A85" s="189"/>
      <c r="B85" s="189"/>
      <c r="C85" s="192"/>
      <c r="D85" s="37"/>
      <c r="E85" s="37"/>
      <c r="F85" s="37"/>
      <c r="G85" s="36">
        <f t="shared" si="48"/>
        <v>0</v>
      </c>
      <c r="H85" s="193"/>
      <c r="I85" s="193"/>
      <c r="J85" s="193"/>
      <c r="K85" s="37">
        <f t="shared" si="49"/>
        <v>0</v>
      </c>
      <c r="L85" s="37">
        <f t="shared" si="50"/>
        <v>0</v>
      </c>
      <c r="M85" s="37">
        <f t="shared" si="51"/>
        <v>0</v>
      </c>
      <c r="N85" s="37">
        <f t="shared" si="52"/>
        <v>0</v>
      </c>
      <c r="O85" s="78"/>
    </row>
    <row r="86" spans="1:15" s="135" customFormat="1" x14ac:dyDescent="0.35">
      <c r="A86" s="189"/>
      <c r="B86" s="189"/>
      <c r="C86" s="192"/>
      <c r="D86" s="37"/>
      <c r="E86" s="37"/>
      <c r="F86" s="37"/>
      <c r="G86" s="36">
        <f t="shared" si="48"/>
        <v>0</v>
      </c>
      <c r="H86" s="193"/>
      <c r="I86" s="193"/>
      <c r="J86" s="193"/>
      <c r="K86" s="37">
        <f t="shared" si="49"/>
        <v>0</v>
      </c>
      <c r="L86" s="37">
        <f t="shared" si="50"/>
        <v>0</v>
      </c>
      <c r="M86" s="37">
        <f t="shared" si="51"/>
        <v>0</v>
      </c>
      <c r="N86" s="37">
        <f t="shared" si="52"/>
        <v>0</v>
      </c>
      <c r="O86" s="78"/>
    </row>
    <row r="87" spans="1:15" s="135" customFormat="1" ht="29" x14ac:dyDescent="0.35">
      <c r="A87" s="189"/>
      <c r="B87" s="33" t="s">
        <v>119</v>
      </c>
      <c r="C87" s="33" t="s">
        <v>120</v>
      </c>
      <c r="D87" s="190"/>
      <c r="E87" s="190"/>
      <c r="F87" s="190"/>
      <c r="G87" s="190"/>
      <c r="H87" s="34"/>
      <c r="I87" s="34"/>
      <c r="J87" s="34"/>
      <c r="K87" s="191"/>
      <c r="L87" s="191"/>
      <c r="M87" s="191"/>
      <c r="N87" s="191"/>
      <c r="O87" s="78"/>
    </row>
    <row r="88" spans="1:15" s="135" customFormat="1" x14ac:dyDescent="0.35">
      <c r="A88" s="189" t="s">
        <v>93</v>
      </c>
      <c r="B88" s="189" t="s">
        <v>121</v>
      </c>
      <c r="C88" s="192" t="s">
        <v>120</v>
      </c>
      <c r="D88" s="37"/>
      <c r="E88" s="37"/>
      <c r="F88" s="37"/>
      <c r="G88" s="36">
        <f t="shared" ref="G88:G92" si="53">IFERROR(ROUND(($F88/$E88)-1,3),0)</f>
        <v>0</v>
      </c>
      <c r="H88" s="193"/>
      <c r="I88" s="193"/>
      <c r="J88" s="193"/>
      <c r="K88" s="37">
        <f t="shared" ref="K88:K92" si="54">IFERROR(ROUND((($D88*$H88)+($D88*$I88*0.8)+($D88*$J88*0.9)),2),0)</f>
        <v>0</v>
      </c>
      <c r="L88" s="37">
        <f t="shared" ref="L88:L92" si="55">IFERROR(ROUND((($E88*$H88)+($E88*$I88*0.8)+($E88*$J88*0.9)),2),0)</f>
        <v>0</v>
      </c>
      <c r="M88" s="37">
        <f t="shared" ref="M88:M92" si="56">IFERROR(ROUND((($F88*$H88)+($F88*$I88*0.8)+($F88*$J88*0.9)),2),0)</f>
        <v>0</v>
      </c>
      <c r="N88" s="37">
        <f t="shared" ref="N88:N92" si="57">IFERROR(ROUND($M88-$L88,2),0)</f>
        <v>0</v>
      </c>
      <c r="O88" s="78"/>
    </row>
    <row r="89" spans="1:15" s="135" customFormat="1" x14ac:dyDescent="0.35">
      <c r="A89" s="189"/>
      <c r="B89" s="189"/>
      <c r="C89" s="192"/>
      <c r="D89" s="37"/>
      <c r="E89" s="37"/>
      <c r="F89" s="37"/>
      <c r="G89" s="36">
        <f t="shared" si="53"/>
        <v>0</v>
      </c>
      <c r="H89" s="193"/>
      <c r="I89" s="193"/>
      <c r="J89" s="193"/>
      <c r="K89" s="37">
        <f t="shared" si="54"/>
        <v>0</v>
      </c>
      <c r="L89" s="37">
        <f t="shared" si="55"/>
        <v>0</v>
      </c>
      <c r="M89" s="37">
        <f t="shared" si="56"/>
        <v>0</v>
      </c>
      <c r="N89" s="37">
        <f t="shared" si="57"/>
        <v>0</v>
      </c>
      <c r="O89" s="78"/>
    </row>
    <row r="90" spans="1:15" s="135" customFormat="1" x14ac:dyDescent="0.35">
      <c r="A90" s="189"/>
      <c r="B90" s="189"/>
      <c r="C90" s="192"/>
      <c r="D90" s="37"/>
      <c r="E90" s="37"/>
      <c r="F90" s="37"/>
      <c r="G90" s="36">
        <f t="shared" si="53"/>
        <v>0</v>
      </c>
      <c r="H90" s="193"/>
      <c r="I90" s="193"/>
      <c r="J90" s="193"/>
      <c r="K90" s="37">
        <f t="shared" si="54"/>
        <v>0</v>
      </c>
      <c r="L90" s="37">
        <f t="shared" si="55"/>
        <v>0</v>
      </c>
      <c r="M90" s="37">
        <f t="shared" si="56"/>
        <v>0</v>
      </c>
      <c r="N90" s="37">
        <f t="shared" si="57"/>
        <v>0</v>
      </c>
      <c r="O90" s="78"/>
    </row>
    <row r="91" spans="1:15" s="135" customFormat="1" x14ac:dyDescent="0.35">
      <c r="A91" s="189"/>
      <c r="B91" s="189"/>
      <c r="C91" s="192"/>
      <c r="D91" s="37"/>
      <c r="E91" s="37"/>
      <c r="F91" s="37"/>
      <c r="G91" s="36">
        <f t="shared" si="53"/>
        <v>0</v>
      </c>
      <c r="H91" s="193"/>
      <c r="I91" s="193"/>
      <c r="J91" s="193"/>
      <c r="K91" s="37">
        <f t="shared" si="54"/>
        <v>0</v>
      </c>
      <c r="L91" s="37">
        <f t="shared" si="55"/>
        <v>0</v>
      </c>
      <c r="M91" s="37">
        <f t="shared" si="56"/>
        <v>0</v>
      </c>
      <c r="N91" s="37">
        <f t="shared" si="57"/>
        <v>0</v>
      </c>
      <c r="O91" s="78"/>
    </row>
    <row r="92" spans="1:15" s="135" customFormat="1" x14ac:dyDescent="0.35">
      <c r="A92" s="189"/>
      <c r="B92" s="189"/>
      <c r="C92" s="192"/>
      <c r="D92" s="37"/>
      <c r="E92" s="37"/>
      <c r="F92" s="37"/>
      <c r="G92" s="36">
        <f t="shared" si="53"/>
        <v>0</v>
      </c>
      <c r="H92" s="193"/>
      <c r="I92" s="193"/>
      <c r="J92" s="193"/>
      <c r="K92" s="37">
        <f t="shared" si="54"/>
        <v>0</v>
      </c>
      <c r="L92" s="37">
        <f t="shared" si="55"/>
        <v>0</v>
      </c>
      <c r="M92" s="37">
        <f t="shared" si="56"/>
        <v>0</v>
      </c>
      <c r="N92" s="37">
        <f t="shared" si="57"/>
        <v>0</v>
      </c>
      <c r="O92" s="78"/>
    </row>
    <row r="93" spans="1:15" s="135" customFormat="1" x14ac:dyDescent="0.35">
      <c r="A93" s="38"/>
      <c r="B93" s="39"/>
      <c r="C93" s="40"/>
      <c r="D93" s="9"/>
      <c r="E93" s="41"/>
      <c r="F93" s="41"/>
      <c r="G93" s="42"/>
      <c r="H93" s="42"/>
      <c r="I93" s="43"/>
      <c r="J93" s="43"/>
      <c r="K93" s="43"/>
      <c r="L93" s="11"/>
      <c r="M93" s="41"/>
      <c r="N93" s="41"/>
      <c r="O93" s="78"/>
    </row>
    <row r="94" spans="1:15" s="135" customFormat="1" x14ac:dyDescent="0.35">
      <c r="A94" s="38"/>
      <c r="B94" s="39"/>
      <c r="C94" s="40"/>
      <c r="D94" s="9"/>
      <c r="E94" s="41"/>
      <c r="F94" s="41"/>
      <c r="G94" s="42"/>
      <c r="H94" s="42"/>
      <c r="I94" s="43"/>
      <c r="J94" s="43"/>
      <c r="K94" s="43"/>
      <c r="L94" s="11"/>
      <c r="M94" s="41"/>
      <c r="N94" s="41"/>
      <c r="O94" s="78"/>
    </row>
    <row r="95" spans="1:15" s="135" customFormat="1" x14ac:dyDescent="0.35">
      <c r="A95" s="24"/>
      <c r="B95" s="39"/>
      <c r="C95" s="40"/>
      <c r="D95" s="9"/>
      <c r="E95" s="41"/>
      <c r="F95" s="41"/>
      <c r="G95" s="42"/>
      <c r="H95" s="42"/>
      <c r="I95" s="43"/>
      <c r="J95" s="43"/>
      <c r="K95" s="43"/>
      <c r="L95" s="11"/>
      <c r="M95" s="41"/>
      <c r="N95" s="41"/>
      <c r="O95" s="78"/>
    </row>
    <row r="96" spans="1:15" s="135" customFormat="1" x14ac:dyDescent="0.35">
      <c r="A96" s="194"/>
      <c r="C96" s="40"/>
      <c r="D96" s="9"/>
      <c r="E96" s="9"/>
      <c r="F96" s="9"/>
      <c r="G96" s="9"/>
      <c r="H96" s="9"/>
      <c r="I96" s="10"/>
      <c r="J96" s="10"/>
      <c r="K96" s="10"/>
      <c r="L96" s="11"/>
      <c r="M96" s="24"/>
      <c r="N96" s="24"/>
      <c r="O96" s="78"/>
    </row>
    <row r="97" spans="1:15" s="135" customFormat="1" ht="18.5" x14ac:dyDescent="0.35">
      <c r="A97" s="267" t="s">
        <v>122</v>
      </c>
      <c r="B97" s="268"/>
      <c r="C97" s="268"/>
      <c r="D97" s="268"/>
      <c r="E97" s="268"/>
      <c r="F97" s="268"/>
      <c r="G97" s="268"/>
      <c r="H97" s="268"/>
      <c r="I97" s="268"/>
      <c r="J97" s="268"/>
      <c r="K97" s="268"/>
      <c r="L97" s="269"/>
      <c r="M97" s="22"/>
      <c r="N97" s="22"/>
      <c r="O97" s="78"/>
    </row>
    <row r="98" spans="1:15" s="135" customFormat="1" ht="18.5" x14ac:dyDescent="0.35">
      <c r="A98" s="270"/>
      <c r="B98" s="271"/>
      <c r="C98" s="271"/>
      <c r="D98" s="271"/>
      <c r="E98" s="271"/>
      <c r="F98" s="271"/>
      <c r="G98" s="271"/>
      <c r="H98" s="271"/>
      <c r="I98" s="271"/>
      <c r="J98" s="271"/>
      <c r="K98" s="271"/>
      <c r="L98" s="272"/>
      <c r="M98" s="22"/>
      <c r="N98" s="22"/>
      <c r="O98" s="78"/>
    </row>
    <row r="99" spans="1:15" s="135" customFormat="1" x14ac:dyDescent="0.3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78"/>
    </row>
    <row r="100" spans="1:15" s="135" customFormat="1" ht="15.5" x14ac:dyDescent="0.35">
      <c r="A100" s="24"/>
      <c r="B100" s="194"/>
      <c r="D100" s="40"/>
      <c r="E100" s="27"/>
      <c r="F100" s="27"/>
      <c r="G100" s="27"/>
      <c r="H100" s="27"/>
      <c r="I100" s="255" t="s">
        <v>123</v>
      </c>
      <c r="J100" s="256"/>
      <c r="K100" s="257"/>
      <c r="L100" s="24"/>
      <c r="M100" s="128"/>
      <c r="N100" s="24"/>
      <c r="O100" s="78"/>
    </row>
    <row r="101" spans="1:15" s="135" customFormat="1" ht="96.75" customHeight="1" x14ac:dyDescent="0.35">
      <c r="A101" s="28" t="s">
        <v>83</v>
      </c>
      <c r="B101" s="28" t="s">
        <v>84</v>
      </c>
      <c r="C101" s="29" t="s">
        <v>85</v>
      </c>
      <c r="D101" s="30" t="str">
        <f>CONCATENATE("Rate at Last PCI Update (",'Factor Dev'!L16,")")</f>
        <v>Rate at Last PCI Update (October 1, 2022)</v>
      </c>
      <c r="E101" s="30" t="str">
        <f>CONCATENATE("Current Rate (",'Factor Dev'!S16,")")</f>
        <v>Current Rate (June 30, 2023)</v>
      </c>
      <c r="F101" s="30" t="str">
        <f>CONCATENATE("Proposed Rate (",'Factor Dev'!T16,")")</f>
        <v>Proposed Rate (July 1, 2023)</v>
      </c>
      <c r="G101" s="30" t="s">
        <v>86</v>
      </c>
      <c r="H101" s="238" t="s">
        <v>186</v>
      </c>
      <c r="I101" s="31" t="s">
        <v>87</v>
      </c>
      <c r="J101" s="31" t="s">
        <v>88</v>
      </c>
      <c r="K101" s="31" t="s">
        <v>89</v>
      </c>
      <c r="L101" s="30" t="s">
        <v>124</v>
      </c>
      <c r="M101" s="24"/>
      <c r="N101" s="24"/>
      <c r="O101" s="78"/>
    </row>
    <row r="102" spans="1:15" s="135" customFormat="1" x14ac:dyDescent="0.35">
      <c r="A102" s="195"/>
      <c r="B102" s="196"/>
      <c r="C102" s="100" t="str">
        <f>"Col "&amp;COLUMN(C102)+71</f>
        <v>Col 74</v>
      </c>
      <c r="D102" s="100" t="str">
        <f t="shared" ref="D102:L102" si="58">"Col "&amp;COLUMN(D102)+71</f>
        <v>Col 75</v>
      </c>
      <c r="E102" s="100" t="str">
        <f t="shared" si="58"/>
        <v>Col 76</v>
      </c>
      <c r="F102" s="100" t="str">
        <f t="shared" si="58"/>
        <v>Col 77</v>
      </c>
      <c r="G102" s="100" t="str">
        <f t="shared" si="58"/>
        <v>Col 78</v>
      </c>
      <c r="H102" s="100" t="str">
        <f t="shared" si="58"/>
        <v>Col 79</v>
      </c>
      <c r="I102" s="100" t="str">
        <f t="shared" si="58"/>
        <v>Col 80</v>
      </c>
      <c r="J102" s="100" t="str">
        <f t="shared" si="58"/>
        <v>Col 81</v>
      </c>
      <c r="K102" s="100" t="str">
        <f t="shared" si="58"/>
        <v>Col 82</v>
      </c>
      <c r="L102" s="100" t="str">
        <f t="shared" si="58"/>
        <v>Col 83</v>
      </c>
      <c r="M102" s="24"/>
      <c r="N102" s="24"/>
      <c r="O102" s="78"/>
    </row>
    <row r="103" spans="1:15" s="135" customFormat="1" ht="38.25" customHeight="1" x14ac:dyDescent="0.35">
      <c r="A103" s="28" t="s">
        <v>42</v>
      </c>
      <c r="B103" s="28" t="s">
        <v>42</v>
      </c>
      <c r="C103" s="33" t="s">
        <v>42</v>
      </c>
      <c r="D103" s="30" t="s">
        <v>42</v>
      </c>
      <c r="E103" s="30" t="s">
        <v>42</v>
      </c>
      <c r="F103" s="30" t="s">
        <v>42</v>
      </c>
      <c r="G103" s="30" t="str">
        <f>"("&amp;F102&amp;" / "&amp;D102&amp;") - 1"</f>
        <v>(Col 77 / Col 75) - 1</v>
      </c>
      <c r="H103" s="30" t="s">
        <v>42</v>
      </c>
      <c r="I103" s="44" t="str">
        <f>D102&amp;" x "&amp;H102</f>
        <v>Col 75 x Col 79</v>
      </c>
      <c r="J103" s="44" t="str">
        <f>E102&amp;" x "&amp;H102</f>
        <v>Col 76 x Col 79</v>
      </c>
      <c r="K103" s="44" t="str">
        <f>F102&amp;" x "&amp;H102</f>
        <v>Col 77 x Col 79</v>
      </c>
      <c r="L103" s="45" t="str">
        <f>K102&amp;" - "&amp;J102</f>
        <v>Col 82 - Col 81</v>
      </c>
      <c r="M103" s="24"/>
      <c r="N103" s="24"/>
      <c r="O103" s="78"/>
    </row>
    <row r="104" spans="1:15" s="135" customFormat="1" x14ac:dyDescent="0.35">
      <c r="A104" s="189"/>
      <c r="B104" s="33" t="s">
        <v>91</v>
      </c>
      <c r="C104" s="33" t="s">
        <v>92</v>
      </c>
      <c r="D104" s="190"/>
      <c r="E104" s="190"/>
      <c r="F104" s="190"/>
      <c r="G104" s="190"/>
      <c r="H104" s="34"/>
      <c r="I104" s="34"/>
      <c r="J104" s="34"/>
      <c r="K104" s="34"/>
      <c r="L104" s="191"/>
      <c r="O104" s="78"/>
    </row>
    <row r="105" spans="1:15" s="135" customFormat="1" x14ac:dyDescent="0.35">
      <c r="A105" s="189" t="s">
        <v>93</v>
      </c>
      <c r="B105" s="189" t="s">
        <v>125</v>
      </c>
      <c r="C105" s="192" t="s">
        <v>92</v>
      </c>
      <c r="D105" s="37"/>
      <c r="E105" s="37"/>
      <c r="F105" s="37"/>
      <c r="G105" s="46">
        <f>IFERROR(ROUND((F105/D105)-1,3),0)</f>
        <v>0</v>
      </c>
      <c r="H105" s="58"/>
      <c r="I105" s="47">
        <f>IFERROR(ROUND($D105*$H105,2),0)</f>
        <v>0</v>
      </c>
      <c r="J105" s="47">
        <f>IFERROR(ROUND($E105*$H105,2),0)</f>
        <v>0</v>
      </c>
      <c r="K105" s="47">
        <f>IFERROR(ROUND($F105*$H105,2),0)</f>
        <v>0</v>
      </c>
      <c r="L105" s="47">
        <f>IFERROR(ROUND(K105-J105,2),0)</f>
        <v>0</v>
      </c>
      <c r="M105" s="24"/>
      <c r="N105" s="24"/>
      <c r="O105" s="78"/>
    </row>
    <row r="106" spans="1:15" s="135" customFormat="1" x14ac:dyDescent="0.35">
      <c r="A106" s="189"/>
      <c r="B106" s="189"/>
      <c r="C106" s="192"/>
      <c r="D106" s="37"/>
      <c r="E106" s="37"/>
      <c r="F106" s="37"/>
      <c r="G106" s="46">
        <f>IFERROR(ROUND((F106/D106)-1,3),0)</f>
        <v>0</v>
      </c>
      <c r="H106" s="58"/>
      <c r="I106" s="47">
        <f>IFERROR(ROUND($D106*$H106,2),0)</f>
        <v>0</v>
      </c>
      <c r="J106" s="47">
        <f>IFERROR(ROUND($E106*$H106,2),0)</f>
        <v>0</v>
      </c>
      <c r="K106" s="47">
        <f>IFERROR(ROUND($F106*$H106,2),0)</f>
        <v>0</v>
      </c>
      <c r="L106" s="47">
        <f>IFERROR(ROUND(K106-J106,2),0)</f>
        <v>0</v>
      </c>
      <c r="M106" s="24"/>
      <c r="N106" s="24"/>
      <c r="O106" s="78"/>
    </row>
    <row r="107" spans="1:15" s="135" customFormat="1" x14ac:dyDescent="0.35">
      <c r="A107" s="189"/>
      <c r="B107" s="189"/>
      <c r="C107" s="192"/>
      <c r="D107" s="37"/>
      <c r="E107" s="37"/>
      <c r="F107" s="37"/>
      <c r="G107" s="46">
        <f t="shared" ref="G107:G109" si="59">IFERROR(ROUND((F107/D107)-1,3),0)</f>
        <v>0</v>
      </c>
      <c r="H107" s="58"/>
      <c r="I107" s="47">
        <f t="shared" ref="I107:I109" si="60">IFERROR(ROUND($D107*$H107,2),0)</f>
        <v>0</v>
      </c>
      <c r="J107" s="47">
        <f t="shared" ref="J107:J109" si="61">IFERROR(ROUND($E107*$H107,2),0)</f>
        <v>0</v>
      </c>
      <c r="K107" s="47">
        <f t="shared" ref="K107:K109" si="62">IFERROR(ROUND($F107*$H107,2),0)</f>
        <v>0</v>
      </c>
      <c r="L107" s="47">
        <f t="shared" ref="L107:L109" si="63">IFERROR(ROUND(K107-J107,2),0)</f>
        <v>0</v>
      </c>
      <c r="M107" s="24"/>
      <c r="N107" s="24"/>
      <c r="O107" s="78"/>
    </row>
    <row r="108" spans="1:15" s="135" customFormat="1" x14ac:dyDescent="0.35">
      <c r="A108" s="189"/>
      <c r="B108" s="189"/>
      <c r="C108" s="192"/>
      <c r="D108" s="37"/>
      <c r="E108" s="37"/>
      <c r="F108" s="37"/>
      <c r="G108" s="46">
        <f t="shared" si="59"/>
        <v>0</v>
      </c>
      <c r="H108" s="58"/>
      <c r="I108" s="47">
        <f t="shared" si="60"/>
        <v>0</v>
      </c>
      <c r="J108" s="47">
        <f t="shared" si="61"/>
        <v>0</v>
      </c>
      <c r="K108" s="47">
        <f t="shared" si="62"/>
        <v>0</v>
      </c>
      <c r="L108" s="47">
        <f t="shared" si="63"/>
        <v>0</v>
      </c>
      <c r="M108" s="24"/>
      <c r="N108" s="24"/>
      <c r="O108" s="78"/>
    </row>
    <row r="109" spans="1:15" s="135" customFormat="1" x14ac:dyDescent="0.35">
      <c r="A109" s="189"/>
      <c r="B109" s="189"/>
      <c r="C109" s="192"/>
      <c r="D109" s="37"/>
      <c r="E109" s="37"/>
      <c r="F109" s="37"/>
      <c r="G109" s="46">
        <f t="shared" si="59"/>
        <v>0</v>
      </c>
      <c r="H109" s="58"/>
      <c r="I109" s="47">
        <f t="shared" si="60"/>
        <v>0</v>
      </c>
      <c r="J109" s="47">
        <f t="shared" si="61"/>
        <v>0</v>
      </c>
      <c r="K109" s="47">
        <f t="shared" si="62"/>
        <v>0</v>
      </c>
      <c r="L109" s="47">
        <f t="shared" si="63"/>
        <v>0</v>
      </c>
      <c r="M109" s="24"/>
      <c r="N109" s="24"/>
      <c r="O109" s="78"/>
    </row>
    <row r="110" spans="1:15" s="135" customFormat="1" x14ac:dyDescent="0.35">
      <c r="A110" s="189"/>
      <c r="B110" s="33" t="s">
        <v>95</v>
      </c>
      <c r="C110" s="33" t="s">
        <v>96</v>
      </c>
      <c r="D110" s="190"/>
      <c r="E110" s="190"/>
      <c r="F110" s="190"/>
      <c r="G110" s="190"/>
      <c r="H110" s="34"/>
      <c r="I110" s="34"/>
      <c r="J110" s="34"/>
      <c r="K110" s="34"/>
      <c r="L110" s="191"/>
      <c r="O110" s="78"/>
    </row>
    <row r="111" spans="1:15" s="135" customFormat="1" x14ac:dyDescent="0.35">
      <c r="A111" s="189" t="s">
        <v>93</v>
      </c>
      <c r="B111" s="190" t="s">
        <v>126</v>
      </c>
      <c r="C111" s="192" t="s">
        <v>96</v>
      </c>
      <c r="D111" s="35"/>
      <c r="E111" s="35"/>
      <c r="F111" s="35"/>
      <c r="G111" s="46">
        <f>IFERROR(ROUND((F111/D111)-1,3),0)</f>
        <v>0</v>
      </c>
      <c r="H111" s="58"/>
      <c r="I111" s="47">
        <f>IFERROR(ROUND($D111*$H111,2),0)</f>
        <v>0</v>
      </c>
      <c r="J111" s="47">
        <f>IFERROR(ROUND($E111*$H111,2),0)</f>
        <v>0</v>
      </c>
      <c r="K111" s="47">
        <f>IFERROR(ROUND($F111*$H111,2),0)</f>
        <v>0</v>
      </c>
      <c r="L111" s="47">
        <f>IFERROR(ROUND(K111-J111,2),0)</f>
        <v>0</v>
      </c>
      <c r="M111" s="24"/>
      <c r="N111" s="24"/>
      <c r="O111" s="78"/>
    </row>
    <row r="112" spans="1:15" s="135" customFormat="1" x14ac:dyDescent="0.35">
      <c r="A112" s="189"/>
      <c r="B112" s="189"/>
      <c r="C112" s="192"/>
      <c r="D112" s="37"/>
      <c r="E112" s="37"/>
      <c r="F112" s="37"/>
      <c r="G112" s="46">
        <f>IFERROR(ROUND((F112/D112)-1,3),0)</f>
        <v>0</v>
      </c>
      <c r="H112" s="58"/>
      <c r="I112" s="47">
        <f>IFERROR(ROUND($D112*$H112,2),0)</f>
        <v>0</v>
      </c>
      <c r="J112" s="47">
        <f>IFERROR(ROUND($E112*$H112,2),0)</f>
        <v>0</v>
      </c>
      <c r="K112" s="47">
        <f>IFERROR(ROUND($F112*$H112,2),0)</f>
        <v>0</v>
      </c>
      <c r="L112" s="47">
        <f>IFERROR(ROUND(K112-J112,2),0)</f>
        <v>0</v>
      </c>
      <c r="M112" s="24"/>
      <c r="N112" s="24"/>
      <c r="O112" s="78"/>
    </row>
    <row r="113" spans="1:15" s="135" customFormat="1" x14ac:dyDescent="0.35">
      <c r="A113" s="189"/>
      <c r="B113" s="189"/>
      <c r="C113" s="192"/>
      <c r="D113" s="37"/>
      <c r="E113" s="37"/>
      <c r="F113" s="37"/>
      <c r="G113" s="46">
        <f t="shared" ref="G113:G115" si="64">IFERROR(ROUND((F113/D113)-1,3),0)</f>
        <v>0</v>
      </c>
      <c r="H113" s="58"/>
      <c r="I113" s="47">
        <f t="shared" ref="I113:I115" si="65">IFERROR(ROUND($D113*$H113,2),0)</f>
        <v>0</v>
      </c>
      <c r="J113" s="47">
        <f t="shared" ref="J113:J115" si="66">IFERROR(ROUND($E113*$H113,2),0)</f>
        <v>0</v>
      </c>
      <c r="K113" s="47">
        <f t="shared" ref="K113:K115" si="67">IFERROR(ROUND($F113*$H113,2),0)</f>
        <v>0</v>
      </c>
      <c r="L113" s="47">
        <f t="shared" ref="L113:L115" si="68">IFERROR(ROUND(K113-J113,2),0)</f>
        <v>0</v>
      </c>
      <c r="M113" s="24"/>
      <c r="N113" s="24"/>
      <c r="O113" s="78"/>
    </row>
    <row r="114" spans="1:15" s="135" customFormat="1" x14ac:dyDescent="0.35">
      <c r="A114" s="189"/>
      <c r="B114" s="189"/>
      <c r="C114" s="192"/>
      <c r="D114" s="37"/>
      <c r="E114" s="37"/>
      <c r="F114" s="37"/>
      <c r="G114" s="46">
        <f t="shared" si="64"/>
        <v>0</v>
      </c>
      <c r="H114" s="58"/>
      <c r="I114" s="47">
        <f t="shared" si="65"/>
        <v>0</v>
      </c>
      <c r="J114" s="47">
        <f t="shared" si="66"/>
        <v>0</v>
      </c>
      <c r="K114" s="47">
        <f t="shared" si="67"/>
        <v>0</v>
      </c>
      <c r="L114" s="47">
        <f t="shared" si="68"/>
        <v>0</v>
      </c>
      <c r="M114" s="24"/>
      <c r="N114" s="24"/>
      <c r="O114" s="78"/>
    </row>
    <row r="115" spans="1:15" s="135" customFormat="1" x14ac:dyDescent="0.35">
      <c r="A115" s="189"/>
      <c r="B115" s="189"/>
      <c r="C115" s="192"/>
      <c r="D115" s="37"/>
      <c r="E115" s="37"/>
      <c r="F115" s="37"/>
      <c r="G115" s="46">
        <f t="shared" si="64"/>
        <v>0</v>
      </c>
      <c r="H115" s="58"/>
      <c r="I115" s="47">
        <f t="shared" si="65"/>
        <v>0</v>
      </c>
      <c r="J115" s="47">
        <f t="shared" si="66"/>
        <v>0</v>
      </c>
      <c r="K115" s="47">
        <f t="shared" si="67"/>
        <v>0</v>
      </c>
      <c r="L115" s="47">
        <f t="shared" si="68"/>
        <v>0</v>
      </c>
      <c r="M115" s="24"/>
      <c r="N115" s="24"/>
      <c r="O115" s="78"/>
    </row>
    <row r="116" spans="1:15" s="135" customFormat="1" x14ac:dyDescent="0.35">
      <c r="A116" s="189"/>
      <c r="B116" s="33" t="s">
        <v>98</v>
      </c>
      <c r="C116" s="33" t="s">
        <v>99</v>
      </c>
      <c r="D116" s="190"/>
      <c r="E116" s="190"/>
      <c r="F116" s="190"/>
      <c r="G116" s="190"/>
      <c r="H116" s="34"/>
      <c r="I116" s="34"/>
      <c r="J116" s="34"/>
      <c r="K116" s="34"/>
      <c r="L116" s="191"/>
      <c r="O116" s="78"/>
    </row>
    <row r="117" spans="1:15" s="135" customFormat="1" x14ac:dyDescent="0.35">
      <c r="A117" s="189" t="s">
        <v>93</v>
      </c>
      <c r="B117" s="189" t="s">
        <v>127</v>
      </c>
      <c r="C117" s="192" t="s">
        <v>99</v>
      </c>
      <c r="D117" s="37"/>
      <c r="E117" s="37"/>
      <c r="F117" s="37"/>
      <c r="G117" s="46">
        <f t="shared" ref="G117" si="69">IFERROR(ROUND((F117/D117)-1,3),0)</f>
        <v>0</v>
      </c>
      <c r="H117" s="58"/>
      <c r="I117" s="47">
        <f t="shared" ref="I117" si="70">IFERROR(ROUND($D117*$H117,2),0)</f>
        <v>0</v>
      </c>
      <c r="J117" s="47">
        <f t="shared" ref="J117" si="71">IFERROR(ROUND($E117*$H117,2),0)</f>
        <v>0</v>
      </c>
      <c r="K117" s="47">
        <f t="shared" ref="K117" si="72">IFERROR(ROUND($F117*$H117,2),0)</f>
        <v>0</v>
      </c>
      <c r="L117" s="47">
        <f t="shared" ref="L117" si="73">IFERROR(ROUND(K117-J117,2),0)</f>
        <v>0</v>
      </c>
      <c r="M117" s="24"/>
      <c r="N117" s="24"/>
      <c r="O117" s="77"/>
    </row>
    <row r="118" spans="1:15" s="135" customFormat="1" x14ac:dyDescent="0.35">
      <c r="A118" s="189"/>
      <c r="B118" s="189"/>
      <c r="C118" s="192"/>
      <c r="D118" s="37"/>
      <c r="E118" s="37"/>
      <c r="F118" s="37"/>
      <c r="G118" s="46">
        <f>IFERROR(ROUND((F118/D118)-1,3),0)</f>
        <v>0</v>
      </c>
      <c r="H118" s="58"/>
      <c r="I118" s="47">
        <f>IFERROR(ROUND($D118*$H118,2),0)</f>
        <v>0</v>
      </c>
      <c r="J118" s="47">
        <f>IFERROR(ROUND($E118*$H118,2),0)</f>
        <v>0</v>
      </c>
      <c r="K118" s="47">
        <f>IFERROR(ROUND($F118*$H118,2),0)</f>
        <v>0</v>
      </c>
      <c r="L118" s="47">
        <f>IFERROR(ROUND(K118-J118,2),0)</f>
        <v>0</v>
      </c>
      <c r="M118" s="24"/>
      <c r="N118" s="24"/>
      <c r="O118" s="78"/>
    </row>
    <row r="119" spans="1:15" s="135" customFormat="1" x14ac:dyDescent="0.35">
      <c r="A119" s="189"/>
      <c r="B119" s="189"/>
      <c r="C119" s="192"/>
      <c r="D119" s="37"/>
      <c r="E119" s="37"/>
      <c r="F119" s="37"/>
      <c r="G119" s="46">
        <f t="shared" ref="G119:G121" si="74">IFERROR(ROUND((F119/D119)-1,3),0)</f>
        <v>0</v>
      </c>
      <c r="H119" s="58"/>
      <c r="I119" s="47">
        <f t="shared" ref="I119:I121" si="75">IFERROR(ROUND($D119*$H119,2),0)</f>
        <v>0</v>
      </c>
      <c r="J119" s="47">
        <f t="shared" ref="J119:J121" si="76">IFERROR(ROUND($E119*$H119,2),0)</f>
        <v>0</v>
      </c>
      <c r="K119" s="47">
        <f t="shared" ref="K119:K121" si="77">IFERROR(ROUND($F119*$H119,2),0)</f>
        <v>0</v>
      </c>
      <c r="L119" s="47">
        <f t="shared" ref="L119:L121" si="78">IFERROR(ROUND(K119-J119,2),0)</f>
        <v>0</v>
      </c>
      <c r="M119" s="24"/>
      <c r="N119" s="24"/>
      <c r="O119" s="78"/>
    </row>
    <row r="120" spans="1:15" s="135" customFormat="1" x14ac:dyDescent="0.35">
      <c r="A120" s="189"/>
      <c r="B120" s="189"/>
      <c r="C120" s="192"/>
      <c r="D120" s="37"/>
      <c r="E120" s="37"/>
      <c r="F120" s="37"/>
      <c r="G120" s="46">
        <f t="shared" si="74"/>
        <v>0</v>
      </c>
      <c r="H120" s="58"/>
      <c r="I120" s="47">
        <f t="shared" si="75"/>
        <v>0</v>
      </c>
      <c r="J120" s="47">
        <f t="shared" si="76"/>
        <v>0</v>
      </c>
      <c r="K120" s="47">
        <f t="shared" si="77"/>
        <v>0</v>
      </c>
      <c r="L120" s="47">
        <f t="shared" si="78"/>
        <v>0</v>
      </c>
      <c r="M120" s="24"/>
      <c r="N120" s="24"/>
      <c r="O120" s="78"/>
    </row>
    <row r="121" spans="1:15" s="135" customFormat="1" x14ac:dyDescent="0.35">
      <c r="A121" s="189"/>
      <c r="B121" s="189"/>
      <c r="C121" s="192"/>
      <c r="D121" s="37"/>
      <c r="E121" s="37"/>
      <c r="F121" s="37"/>
      <c r="G121" s="46">
        <f t="shared" si="74"/>
        <v>0</v>
      </c>
      <c r="H121" s="58"/>
      <c r="I121" s="47">
        <f t="shared" si="75"/>
        <v>0</v>
      </c>
      <c r="J121" s="47">
        <f t="shared" si="76"/>
        <v>0</v>
      </c>
      <c r="K121" s="47">
        <f t="shared" si="77"/>
        <v>0</v>
      </c>
      <c r="L121" s="47">
        <f t="shared" si="78"/>
        <v>0</v>
      </c>
      <c r="M121" s="24"/>
      <c r="N121" s="24"/>
      <c r="O121" s="78"/>
    </row>
    <row r="122" spans="1:15" s="135" customFormat="1" x14ac:dyDescent="0.35">
      <c r="A122" s="189"/>
      <c r="B122" s="33" t="s">
        <v>101</v>
      </c>
      <c r="C122" s="33" t="s">
        <v>102</v>
      </c>
      <c r="D122" s="190"/>
      <c r="E122" s="190"/>
      <c r="F122" s="190"/>
      <c r="G122" s="190"/>
      <c r="H122" s="34"/>
      <c r="I122" s="34"/>
      <c r="J122" s="34"/>
      <c r="K122" s="34"/>
      <c r="L122" s="191"/>
      <c r="O122" s="78"/>
    </row>
    <row r="123" spans="1:15" x14ac:dyDescent="0.35">
      <c r="A123" s="189" t="s">
        <v>93</v>
      </c>
      <c r="B123" s="189" t="s">
        <v>128</v>
      </c>
      <c r="C123" s="192" t="s">
        <v>102</v>
      </c>
      <c r="D123" s="37"/>
      <c r="E123" s="37"/>
      <c r="F123" s="37"/>
      <c r="G123" s="46">
        <f t="shared" ref="G123" si="79">IFERROR(ROUND((F123/D123)-1,3),0)</f>
        <v>0</v>
      </c>
      <c r="H123" s="58"/>
      <c r="I123" s="47">
        <f t="shared" ref="I123" si="80">IFERROR(ROUND($D123*$H123,2),0)</f>
        <v>0</v>
      </c>
      <c r="J123" s="47">
        <f t="shared" ref="J123" si="81">IFERROR(ROUND($E123*$H123,2),0)</f>
        <v>0</v>
      </c>
      <c r="K123" s="47">
        <f t="shared" ref="K123" si="82">IFERROR(ROUND($F123*$H123,2),0)</f>
        <v>0</v>
      </c>
      <c r="L123" s="47">
        <f t="shared" ref="L123" si="83">IFERROR(ROUND(K123-J123,2),0)</f>
        <v>0</v>
      </c>
      <c r="M123" s="24"/>
      <c r="O123" s="78"/>
    </row>
    <row r="124" spans="1:15" s="135" customFormat="1" x14ac:dyDescent="0.35">
      <c r="A124" s="189"/>
      <c r="B124" s="189"/>
      <c r="C124" s="192"/>
      <c r="D124" s="37"/>
      <c r="E124" s="37"/>
      <c r="F124" s="37"/>
      <c r="G124" s="46">
        <f>IFERROR(ROUND((F124/D124)-1,3),0)</f>
        <v>0</v>
      </c>
      <c r="H124" s="58"/>
      <c r="I124" s="47">
        <f>IFERROR(ROUND($D124*$H124,2),0)</f>
        <v>0</v>
      </c>
      <c r="J124" s="47">
        <f>IFERROR(ROUND($E124*$H124,2),0)</f>
        <v>0</v>
      </c>
      <c r="K124" s="47">
        <f>IFERROR(ROUND($F124*$H124,2),0)</f>
        <v>0</v>
      </c>
      <c r="L124" s="47">
        <f>IFERROR(ROUND(K124-J124,2),0)</f>
        <v>0</v>
      </c>
      <c r="M124" s="24"/>
      <c r="N124" s="24"/>
      <c r="O124" s="78"/>
    </row>
    <row r="125" spans="1:15" s="135" customFormat="1" x14ac:dyDescent="0.35">
      <c r="A125" s="189"/>
      <c r="B125" s="189"/>
      <c r="C125" s="192"/>
      <c r="D125" s="37"/>
      <c r="E125" s="37"/>
      <c r="F125" s="37"/>
      <c r="G125" s="46">
        <f t="shared" ref="G125:G127" si="84">IFERROR(ROUND((F125/D125)-1,3),0)</f>
        <v>0</v>
      </c>
      <c r="H125" s="58"/>
      <c r="I125" s="47">
        <f t="shared" ref="I125:I127" si="85">IFERROR(ROUND($D125*$H125,2),0)</f>
        <v>0</v>
      </c>
      <c r="J125" s="47">
        <f t="shared" ref="J125:J127" si="86">IFERROR(ROUND($E125*$H125,2),0)</f>
        <v>0</v>
      </c>
      <c r="K125" s="47">
        <f t="shared" ref="K125:K127" si="87">IFERROR(ROUND($F125*$H125,2),0)</f>
        <v>0</v>
      </c>
      <c r="L125" s="47">
        <f t="shared" ref="L125:L127" si="88">IFERROR(ROUND(K125-J125,2),0)</f>
        <v>0</v>
      </c>
      <c r="M125" s="24"/>
      <c r="N125" s="24"/>
      <c r="O125" s="78"/>
    </row>
    <row r="126" spans="1:15" s="135" customFormat="1" x14ac:dyDescent="0.35">
      <c r="A126" s="189"/>
      <c r="B126" s="189"/>
      <c r="C126" s="192"/>
      <c r="D126" s="37"/>
      <c r="E126" s="37"/>
      <c r="F126" s="37"/>
      <c r="G126" s="46">
        <f t="shared" si="84"/>
        <v>0</v>
      </c>
      <c r="H126" s="58"/>
      <c r="I126" s="47">
        <f t="shared" si="85"/>
        <v>0</v>
      </c>
      <c r="J126" s="47">
        <f t="shared" si="86"/>
        <v>0</v>
      </c>
      <c r="K126" s="47">
        <f t="shared" si="87"/>
        <v>0</v>
      </c>
      <c r="L126" s="47">
        <f t="shared" si="88"/>
        <v>0</v>
      </c>
      <c r="M126" s="24"/>
      <c r="N126" s="24"/>
      <c r="O126" s="78"/>
    </row>
    <row r="127" spans="1:15" s="135" customFormat="1" x14ac:dyDescent="0.35">
      <c r="A127" s="189"/>
      <c r="B127" s="189"/>
      <c r="C127" s="192"/>
      <c r="D127" s="37"/>
      <c r="E127" s="37"/>
      <c r="F127" s="37"/>
      <c r="G127" s="46">
        <f t="shared" si="84"/>
        <v>0</v>
      </c>
      <c r="H127" s="58"/>
      <c r="I127" s="47">
        <f t="shared" si="85"/>
        <v>0</v>
      </c>
      <c r="J127" s="47">
        <f t="shared" si="86"/>
        <v>0</v>
      </c>
      <c r="K127" s="47">
        <f t="shared" si="87"/>
        <v>0</v>
      </c>
      <c r="L127" s="47">
        <f t="shared" si="88"/>
        <v>0</v>
      </c>
      <c r="M127" s="24"/>
      <c r="N127" s="24"/>
      <c r="O127" s="78"/>
    </row>
    <row r="128" spans="1:15" x14ac:dyDescent="0.35">
      <c r="A128" s="189"/>
      <c r="B128" s="33" t="s">
        <v>104</v>
      </c>
      <c r="C128" s="33" t="s">
        <v>105</v>
      </c>
      <c r="D128" s="190"/>
      <c r="E128" s="190"/>
      <c r="F128" s="190"/>
      <c r="G128" s="190"/>
      <c r="H128" s="34"/>
      <c r="I128" s="34"/>
      <c r="J128" s="34"/>
      <c r="K128" s="34"/>
      <c r="L128" s="191"/>
      <c r="M128" s="135"/>
      <c r="N128" s="135"/>
      <c r="O128" s="78"/>
    </row>
    <row r="129" spans="1:15" ht="14.5" customHeight="1" x14ac:dyDescent="0.35">
      <c r="A129" s="189" t="s">
        <v>93</v>
      </c>
      <c r="B129" s="189" t="s">
        <v>106</v>
      </c>
      <c r="C129" s="192" t="s">
        <v>105</v>
      </c>
      <c r="D129" s="37"/>
      <c r="E129" s="37"/>
      <c r="F129" s="37"/>
      <c r="G129" s="46">
        <f t="shared" ref="G129" si="89">IFERROR(ROUND((F129/D129)-1,3),0)</f>
        <v>0</v>
      </c>
      <c r="H129" s="58"/>
      <c r="I129" s="47">
        <f t="shared" ref="I129" si="90">IFERROR(ROUND($D129*$H129,2),0)</f>
        <v>0</v>
      </c>
      <c r="J129" s="47">
        <f t="shared" ref="J129" si="91">IFERROR(ROUND($E129*$H129,2),0)</f>
        <v>0</v>
      </c>
      <c r="K129" s="47">
        <f t="shared" ref="K129" si="92">IFERROR(ROUND($F129*$H129,2),0)</f>
        <v>0</v>
      </c>
      <c r="L129" s="47">
        <f t="shared" ref="L129" si="93">IFERROR(ROUND(K129-J129,2),0)</f>
        <v>0</v>
      </c>
      <c r="M129" s="24"/>
      <c r="O129" s="80"/>
    </row>
    <row r="130" spans="1:15" s="135" customFormat="1" x14ac:dyDescent="0.35">
      <c r="A130" s="189"/>
      <c r="B130" s="189"/>
      <c r="C130" s="192"/>
      <c r="D130" s="37"/>
      <c r="E130" s="37"/>
      <c r="F130" s="37"/>
      <c r="G130" s="46">
        <f>IFERROR(ROUND((F130/D130)-1,3),0)</f>
        <v>0</v>
      </c>
      <c r="H130" s="58"/>
      <c r="I130" s="47">
        <f>IFERROR(ROUND($D130*$H130,2),0)</f>
        <v>0</v>
      </c>
      <c r="J130" s="47">
        <f>IFERROR(ROUND($E130*$H130,2),0)</f>
        <v>0</v>
      </c>
      <c r="K130" s="47">
        <f>IFERROR(ROUND($F130*$H130,2),0)</f>
        <v>0</v>
      </c>
      <c r="L130" s="47">
        <f>IFERROR(ROUND(K130-J130,2),0)</f>
        <v>0</v>
      </c>
      <c r="M130" s="24"/>
      <c r="N130" s="24"/>
      <c r="O130" s="78"/>
    </row>
    <row r="131" spans="1:15" s="135" customFormat="1" x14ac:dyDescent="0.35">
      <c r="A131" s="189"/>
      <c r="B131" s="189"/>
      <c r="C131" s="192"/>
      <c r="D131" s="37"/>
      <c r="E131" s="37"/>
      <c r="F131" s="37"/>
      <c r="G131" s="46">
        <f t="shared" ref="G131:G133" si="94">IFERROR(ROUND((F131/D131)-1,3),0)</f>
        <v>0</v>
      </c>
      <c r="H131" s="58"/>
      <c r="I131" s="47">
        <f t="shared" ref="I131:I133" si="95">IFERROR(ROUND($D131*$H131,2),0)</f>
        <v>0</v>
      </c>
      <c r="J131" s="47">
        <f t="shared" ref="J131:J133" si="96">IFERROR(ROUND($E131*$H131,2),0)</f>
        <v>0</v>
      </c>
      <c r="K131" s="47">
        <f t="shared" ref="K131:K133" si="97">IFERROR(ROUND($F131*$H131,2),0)</f>
        <v>0</v>
      </c>
      <c r="L131" s="47">
        <f t="shared" ref="L131:L133" si="98">IFERROR(ROUND(K131-J131,2),0)</f>
        <v>0</v>
      </c>
      <c r="M131" s="24"/>
      <c r="N131" s="24"/>
      <c r="O131" s="78"/>
    </row>
    <row r="132" spans="1:15" s="135" customFormat="1" x14ac:dyDescent="0.35">
      <c r="A132" s="189"/>
      <c r="B132" s="189"/>
      <c r="C132" s="192"/>
      <c r="D132" s="37"/>
      <c r="E132" s="37"/>
      <c r="F132" s="37"/>
      <c r="G132" s="46">
        <f t="shared" si="94"/>
        <v>0</v>
      </c>
      <c r="H132" s="58"/>
      <c r="I132" s="47">
        <f t="shared" si="95"/>
        <v>0</v>
      </c>
      <c r="J132" s="47">
        <f t="shared" si="96"/>
        <v>0</v>
      </c>
      <c r="K132" s="47">
        <f t="shared" si="97"/>
        <v>0</v>
      </c>
      <c r="L132" s="47">
        <f t="shared" si="98"/>
        <v>0</v>
      </c>
      <c r="M132" s="24"/>
      <c r="N132" s="24"/>
      <c r="O132" s="78"/>
    </row>
    <row r="133" spans="1:15" s="135" customFormat="1" x14ac:dyDescent="0.35">
      <c r="A133" s="189"/>
      <c r="B133" s="189"/>
      <c r="C133" s="192"/>
      <c r="D133" s="37"/>
      <c r="E133" s="37"/>
      <c r="F133" s="37"/>
      <c r="G133" s="46">
        <f t="shared" si="94"/>
        <v>0</v>
      </c>
      <c r="H133" s="58"/>
      <c r="I133" s="47">
        <f t="shared" si="95"/>
        <v>0</v>
      </c>
      <c r="J133" s="47">
        <f t="shared" si="96"/>
        <v>0</v>
      </c>
      <c r="K133" s="47">
        <f t="shared" si="97"/>
        <v>0</v>
      </c>
      <c r="L133" s="47">
        <f t="shared" si="98"/>
        <v>0</v>
      </c>
      <c r="M133" s="24"/>
      <c r="N133" s="24"/>
      <c r="O133" s="78"/>
    </row>
    <row r="134" spans="1:15" x14ac:dyDescent="0.35">
      <c r="A134" s="189"/>
      <c r="B134" s="33" t="s">
        <v>107</v>
      </c>
      <c r="C134" s="33" t="s">
        <v>108</v>
      </c>
      <c r="D134" s="190"/>
      <c r="E134" s="190"/>
      <c r="F134" s="190"/>
      <c r="G134" s="190"/>
      <c r="H134" s="34"/>
      <c r="I134" s="34"/>
      <c r="J134" s="34"/>
      <c r="K134" s="34"/>
      <c r="L134" s="191"/>
      <c r="M134" s="135"/>
      <c r="N134" s="135"/>
      <c r="O134" s="78"/>
    </row>
    <row r="135" spans="1:15" x14ac:dyDescent="0.35">
      <c r="A135" s="189" t="s">
        <v>93</v>
      </c>
      <c r="B135" s="189" t="s">
        <v>109</v>
      </c>
      <c r="C135" s="192" t="s">
        <v>108</v>
      </c>
      <c r="D135" s="37"/>
      <c r="E135" s="37"/>
      <c r="F135" s="37"/>
      <c r="G135" s="46">
        <f t="shared" ref="G135" si="99">IFERROR(ROUND((F135/D135)-1,3),0)</f>
        <v>0</v>
      </c>
      <c r="H135" s="58"/>
      <c r="I135" s="47">
        <f t="shared" ref="I135" si="100">IFERROR(ROUND($D135*$H135,2),0)</f>
        <v>0</v>
      </c>
      <c r="J135" s="47">
        <f t="shared" ref="J135" si="101">IFERROR(ROUND($E135*$H135,2),0)</f>
        <v>0</v>
      </c>
      <c r="K135" s="47">
        <f t="shared" ref="K135" si="102">IFERROR(ROUND($F135*$H135,2),0)</f>
        <v>0</v>
      </c>
      <c r="L135" s="47">
        <f t="shared" ref="L135" si="103">IFERROR(ROUND(K135-J135,2),0)</f>
        <v>0</v>
      </c>
      <c r="M135" s="24"/>
      <c r="O135" s="79"/>
    </row>
    <row r="136" spans="1:15" s="135" customFormat="1" x14ac:dyDescent="0.35">
      <c r="A136" s="189"/>
      <c r="B136" s="189"/>
      <c r="C136" s="192"/>
      <c r="D136" s="37"/>
      <c r="E136" s="37"/>
      <c r="F136" s="37"/>
      <c r="G136" s="46">
        <f>IFERROR(ROUND((F136/D136)-1,3),0)</f>
        <v>0</v>
      </c>
      <c r="H136" s="58"/>
      <c r="I136" s="47">
        <f>IFERROR(ROUND($D136*$H136,2),0)</f>
        <v>0</v>
      </c>
      <c r="J136" s="47">
        <f>IFERROR(ROUND($E136*$H136,2),0)</f>
        <v>0</v>
      </c>
      <c r="K136" s="47">
        <f>IFERROR(ROUND($F136*$H136,2),0)</f>
        <v>0</v>
      </c>
      <c r="L136" s="47">
        <f>IFERROR(ROUND(K136-J136,2),0)</f>
        <v>0</v>
      </c>
      <c r="M136" s="24"/>
      <c r="N136" s="24"/>
      <c r="O136" s="78"/>
    </row>
    <row r="137" spans="1:15" s="135" customFormat="1" x14ac:dyDescent="0.35">
      <c r="A137" s="189"/>
      <c r="B137" s="189"/>
      <c r="C137" s="192"/>
      <c r="D137" s="37"/>
      <c r="E137" s="37"/>
      <c r="F137" s="37"/>
      <c r="G137" s="46">
        <f t="shared" ref="G137:G139" si="104">IFERROR(ROUND((F137/D137)-1,3),0)</f>
        <v>0</v>
      </c>
      <c r="H137" s="58"/>
      <c r="I137" s="47">
        <f t="shared" ref="I137:I139" si="105">IFERROR(ROUND($D137*$H137,2),0)</f>
        <v>0</v>
      </c>
      <c r="J137" s="47">
        <f t="shared" ref="J137:J139" si="106">IFERROR(ROUND($E137*$H137,2),0)</f>
        <v>0</v>
      </c>
      <c r="K137" s="47">
        <f t="shared" ref="K137:K139" si="107">IFERROR(ROUND($F137*$H137,2),0)</f>
        <v>0</v>
      </c>
      <c r="L137" s="47">
        <f t="shared" ref="L137:L139" si="108">IFERROR(ROUND(K137-J137,2),0)</f>
        <v>0</v>
      </c>
      <c r="M137" s="24"/>
      <c r="N137" s="24"/>
      <c r="O137" s="78"/>
    </row>
    <row r="138" spans="1:15" s="135" customFormat="1" x14ac:dyDescent="0.35">
      <c r="A138" s="189"/>
      <c r="B138" s="189"/>
      <c r="C138" s="192"/>
      <c r="D138" s="37"/>
      <c r="E138" s="37"/>
      <c r="F138" s="37"/>
      <c r="G138" s="46">
        <f t="shared" si="104"/>
        <v>0</v>
      </c>
      <c r="H138" s="58"/>
      <c r="I138" s="47">
        <f t="shared" si="105"/>
        <v>0</v>
      </c>
      <c r="J138" s="47">
        <f t="shared" si="106"/>
        <v>0</v>
      </c>
      <c r="K138" s="47">
        <f t="shared" si="107"/>
        <v>0</v>
      </c>
      <c r="L138" s="47">
        <f t="shared" si="108"/>
        <v>0</v>
      </c>
      <c r="M138" s="24"/>
      <c r="N138" s="24"/>
      <c r="O138" s="78"/>
    </row>
    <row r="139" spans="1:15" s="135" customFormat="1" x14ac:dyDescent="0.35">
      <c r="A139" s="189"/>
      <c r="B139" s="189"/>
      <c r="C139" s="192"/>
      <c r="D139" s="37"/>
      <c r="E139" s="37"/>
      <c r="F139" s="37"/>
      <c r="G139" s="46">
        <f t="shared" si="104"/>
        <v>0</v>
      </c>
      <c r="H139" s="58"/>
      <c r="I139" s="47">
        <f t="shared" si="105"/>
        <v>0</v>
      </c>
      <c r="J139" s="47">
        <f t="shared" si="106"/>
        <v>0</v>
      </c>
      <c r="K139" s="47">
        <f t="shared" si="107"/>
        <v>0</v>
      </c>
      <c r="L139" s="47">
        <f t="shared" si="108"/>
        <v>0</v>
      </c>
      <c r="M139" s="24"/>
      <c r="N139" s="24"/>
      <c r="O139" s="78"/>
    </row>
    <row r="140" spans="1:15" x14ac:dyDescent="0.35">
      <c r="A140" s="189"/>
      <c r="B140" s="33" t="s">
        <v>110</v>
      </c>
      <c r="C140" s="33" t="s">
        <v>111</v>
      </c>
      <c r="D140" s="190"/>
      <c r="E140" s="190"/>
      <c r="F140" s="190"/>
      <c r="G140" s="190"/>
      <c r="H140" s="34"/>
      <c r="I140" s="34"/>
      <c r="J140" s="34"/>
      <c r="K140" s="34"/>
      <c r="L140" s="191"/>
      <c r="M140" s="135"/>
      <c r="N140" s="135"/>
      <c r="O140" s="78"/>
    </row>
    <row r="141" spans="1:15" s="135" customFormat="1" x14ac:dyDescent="0.35">
      <c r="A141" s="189" t="s">
        <v>93</v>
      </c>
      <c r="B141" s="189" t="s">
        <v>112</v>
      </c>
      <c r="C141" s="192" t="s">
        <v>111</v>
      </c>
      <c r="D141" s="37"/>
      <c r="E141" s="37"/>
      <c r="F141" s="37"/>
      <c r="G141" s="46">
        <f t="shared" ref="G141" si="109">IFERROR(ROUND((F141/D141)-1,3),0)</f>
        <v>0</v>
      </c>
      <c r="H141" s="58"/>
      <c r="I141" s="47">
        <f t="shared" ref="I141" si="110">IFERROR(ROUND($D141*$H141,2),0)</f>
        <v>0</v>
      </c>
      <c r="J141" s="47">
        <f t="shared" ref="J141" si="111">IFERROR(ROUND($E141*$H141,2),0)</f>
        <v>0</v>
      </c>
      <c r="K141" s="47">
        <f t="shared" ref="K141" si="112">IFERROR(ROUND($F141*$H141,2),0)</f>
        <v>0</v>
      </c>
      <c r="L141" s="47">
        <f t="shared" ref="L141" si="113">IFERROR(ROUND(K141-J141,2),0)</f>
        <v>0</v>
      </c>
      <c r="M141" s="24"/>
      <c r="N141" s="24"/>
      <c r="O141" s="78"/>
    </row>
    <row r="142" spans="1:15" s="135" customFormat="1" x14ac:dyDescent="0.35">
      <c r="A142" s="189"/>
      <c r="B142" s="189"/>
      <c r="C142" s="192"/>
      <c r="D142" s="37"/>
      <c r="E142" s="37"/>
      <c r="F142" s="37"/>
      <c r="G142" s="46">
        <f>IFERROR(ROUND((F142/D142)-1,3),0)</f>
        <v>0</v>
      </c>
      <c r="H142" s="58"/>
      <c r="I142" s="47">
        <f>IFERROR(ROUND($D142*$H142,2),0)</f>
        <v>0</v>
      </c>
      <c r="J142" s="47">
        <f>IFERROR(ROUND($E142*$H142,2),0)</f>
        <v>0</v>
      </c>
      <c r="K142" s="47">
        <f>IFERROR(ROUND($F142*$H142,2),0)</f>
        <v>0</v>
      </c>
      <c r="L142" s="47">
        <f>IFERROR(ROUND(K142-J142,2),0)</f>
        <v>0</v>
      </c>
      <c r="M142" s="24"/>
      <c r="N142" s="24"/>
      <c r="O142" s="78"/>
    </row>
    <row r="143" spans="1:15" s="135" customFormat="1" x14ac:dyDescent="0.35">
      <c r="A143" s="189"/>
      <c r="B143" s="189"/>
      <c r="C143" s="192"/>
      <c r="D143" s="37"/>
      <c r="E143" s="37"/>
      <c r="F143" s="37"/>
      <c r="G143" s="46">
        <f t="shared" ref="G143:G145" si="114">IFERROR(ROUND((F143/D143)-1,3),0)</f>
        <v>0</v>
      </c>
      <c r="H143" s="58"/>
      <c r="I143" s="47">
        <f t="shared" ref="I143:I145" si="115">IFERROR(ROUND($D143*$H143,2),0)</f>
        <v>0</v>
      </c>
      <c r="J143" s="47">
        <f t="shared" ref="J143:J145" si="116">IFERROR(ROUND($E143*$H143,2),0)</f>
        <v>0</v>
      </c>
      <c r="K143" s="47">
        <f t="shared" ref="K143:K145" si="117">IFERROR(ROUND($F143*$H143,2),0)</f>
        <v>0</v>
      </c>
      <c r="L143" s="47">
        <f t="shared" ref="L143:L145" si="118">IFERROR(ROUND(K143-J143,2),0)</f>
        <v>0</v>
      </c>
      <c r="M143" s="24"/>
      <c r="N143" s="24"/>
      <c r="O143" s="78"/>
    </row>
    <row r="144" spans="1:15" s="135" customFormat="1" x14ac:dyDescent="0.35">
      <c r="A144" s="189"/>
      <c r="B144" s="189"/>
      <c r="C144" s="192"/>
      <c r="D144" s="37"/>
      <c r="E144" s="37"/>
      <c r="F144" s="37"/>
      <c r="G144" s="46">
        <f t="shared" si="114"/>
        <v>0</v>
      </c>
      <c r="H144" s="58"/>
      <c r="I144" s="47">
        <f t="shared" si="115"/>
        <v>0</v>
      </c>
      <c r="J144" s="47">
        <f t="shared" si="116"/>
        <v>0</v>
      </c>
      <c r="K144" s="47">
        <f t="shared" si="117"/>
        <v>0</v>
      </c>
      <c r="L144" s="47">
        <f t="shared" si="118"/>
        <v>0</v>
      </c>
      <c r="M144" s="24"/>
      <c r="N144" s="24"/>
      <c r="O144" s="78"/>
    </row>
    <row r="145" spans="1:15" s="135" customFormat="1" x14ac:dyDescent="0.35">
      <c r="A145" s="189"/>
      <c r="B145" s="189"/>
      <c r="C145" s="192"/>
      <c r="D145" s="37"/>
      <c r="E145" s="37"/>
      <c r="F145" s="37"/>
      <c r="G145" s="46">
        <f t="shared" si="114"/>
        <v>0</v>
      </c>
      <c r="H145" s="58"/>
      <c r="I145" s="47">
        <f t="shared" si="115"/>
        <v>0</v>
      </c>
      <c r="J145" s="47">
        <f t="shared" si="116"/>
        <v>0</v>
      </c>
      <c r="K145" s="47">
        <f t="shared" si="117"/>
        <v>0</v>
      </c>
      <c r="L145" s="47">
        <f t="shared" si="118"/>
        <v>0</v>
      </c>
      <c r="M145" s="24"/>
      <c r="N145" s="24"/>
      <c r="O145" s="78"/>
    </row>
    <row r="146" spans="1:15" x14ac:dyDescent="0.35">
      <c r="A146" s="189"/>
      <c r="B146" s="33" t="s">
        <v>113</v>
      </c>
      <c r="C146" s="33" t="s">
        <v>114</v>
      </c>
      <c r="D146" s="190"/>
      <c r="E146" s="190"/>
      <c r="F146" s="190"/>
      <c r="G146" s="190"/>
      <c r="H146" s="34"/>
      <c r="I146" s="34"/>
      <c r="J146" s="34"/>
      <c r="K146" s="34"/>
      <c r="L146" s="191"/>
      <c r="M146" s="135"/>
      <c r="N146" s="135"/>
      <c r="O146" s="78"/>
    </row>
    <row r="147" spans="1:15" x14ac:dyDescent="0.35">
      <c r="A147" s="189" t="s">
        <v>93</v>
      </c>
      <c r="B147" s="189" t="s">
        <v>115</v>
      </c>
      <c r="C147" s="192" t="s">
        <v>114</v>
      </c>
      <c r="D147" s="37"/>
      <c r="E147" s="37"/>
      <c r="F147" s="37"/>
      <c r="G147" s="46">
        <f t="shared" ref="G147:G151" si="119">IFERROR(ROUND((F147/D147)-1,3),0)</f>
        <v>0</v>
      </c>
      <c r="H147" s="58"/>
      <c r="I147" s="47">
        <f t="shared" ref="I147:I151" si="120">IFERROR(ROUND($D147*$H147,2),0)</f>
        <v>0</v>
      </c>
      <c r="J147" s="47">
        <f t="shared" ref="J147:J151" si="121">IFERROR(ROUND($E147*$H147,2),0)</f>
        <v>0</v>
      </c>
      <c r="K147" s="47">
        <f t="shared" ref="K147:K151" si="122">IFERROR(ROUND($F147*$H147,2),0)</f>
        <v>0</v>
      </c>
      <c r="L147" s="47">
        <f t="shared" ref="L147:L151" si="123">IFERROR(ROUND(K147-J147,2),0)</f>
        <v>0</v>
      </c>
      <c r="M147" s="24"/>
      <c r="O147" s="78"/>
    </row>
    <row r="148" spans="1:15" s="135" customFormat="1" x14ac:dyDescent="0.35">
      <c r="A148" s="189"/>
      <c r="B148" s="189"/>
      <c r="C148" s="192"/>
      <c r="D148" s="37"/>
      <c r="E148" s="37"/>
      <c r="F148" s="37"/>
      <c r="G148" s="46">
        <f t="shared" si="119"/>
        <v>0</v>
      </c>
      <c r="H148" s="58"/>
      <c r="I148" s="47">
        <f t="shared" si="120"/>
        <v>0</v>
      </c>
      <c r="J148" s="47">
        <f t="shared" si="121"/>
        <v>0</v>
      </c>
      <c r="K148" s="47">
        <f t="shared" si="122"/>
        <v>0</v>
      </c>
      <c r="L148" s="47">
        <f t="shared" si="123"/>
        <v>0</v>
      </c>
      <c r="M148" s="24"/>
      <c r="N148" s="24"/>
      <c r="O148" s="78"/>
    </row>
    <row r="149" spans="1:15" x14ac:dyDescent="0.35">
      <c r="A149" s="189"/>
      <c r="B149" s="189"/>
      <c r="C149" s="192"/>
      <c r="D149" s="37"/>
      <c r="E149" s="37"/>
      <c r="F149" s="37"/>
      <c r="G149" s="46">
        <f t="shared" si="119"/>
        <v>0</v>
      </c>
      <c r="H149" s="58"/>
      <c r="I149" s="47">
        <f t="shared" si="120"/>
        <v>0</v>
      </c>
      <c r="J149" s="47">
        <f t="shared" si="121"/>
        <v>0</v>
      </c>
      <c r="K149" s="47">
        <f t="shared" si="122"/>
        <v>0</v>
      </c>
      <c r="L149" s="47">
        <f t="shared" si="123"/>
        <v>0</v>
      </c>
      <c r="M149" s="24"/>
      <c r="O149" s="78"/>
    </row>
    <row r="150" spans="1:15" x14ac:dyDescent="0.35">
      <c r="A150" s="189"/>
      <c r="B150" s="189"/>
      <c r="C150" s="192"/>
      <c r="D150" s="37"/>
      <c r="E150" s="37"/>
      <c r="F150" s="37"/>
      <c r="G150" s="46">
        <f t="shared" si="119"/>
        <v>0</v>
      </c>
      <c r="H150" s="58"/>
      <c r="I150" s="47">
        <f t="shared" si="120"/>
        <v>0</v>
      </c>
      <c r="J150" s="47">
        <f t="shared" si="121"/>
        <v>0</v>
      </c>
      <c r="K150" s="47">
        <f t="shared" si="122"/>
        <v>0</v>
      </c>
      <c r="L150" s="47">
        <f t="shared" si="123"/>
        <v>0</v>
      </c>
      <c r="M150" s="24"/>
      <c r="O150" s="78"/>
    </row>
    <row r="151" spans="1:15" x14ac:dyDescent="0.35">
      <c r="A151" s="189"/>
      <c r="B151" s="189"/>
      <c r="C151" s="192"/>
      <c r="D151" s="37"/>
      <c r="E151" s="37"/>
      <c r="F151" s="37"/>
      <c r="G151" s="46">
        <f t="shared" si="119"/>
        <v>0</v>
      </c>
      <c r="H151" s="58"/>
      <c r="I151" s="47">
        <f t="shared" si="120"/>
        <v>0</v>
      </c>
      <c r="J151" s="47">
        <f t="shared" si="121"/>
        <v>0</v>
      </c>
      <c r="K151" s="47">
        <f t="shared" si="122"/>
        <v>0</v>
      </c>
      <c r="L151" s="47">
        <f t="shared" si="123"/>
        <v>0</v>
      </c>
      <c r="M151" s="24"/>
      <c r="O151" s="78"/>
    </row>
    <row r="152" spans="1:15" x14ac:dyDescent="0.35">
      <c r="A152" s="189"/>
      <c r="B152" s="33" t="s">
        <v>116</v>
      </c>
      <c r="C152" s="33" t="s">
        <v>117</v>
      </c>
      <c r="D152" s="190"/>
      <c r="E152" s="190"/>
      <c r="F152" s="190"/>
      <c r="G152" s="190"/>
      <c r="H152" s="34"/>
      <c r="I152" s="34"/>
      <c r="J152" s="34"/>
      <c r="K152" s="34"/>
      <c r="L152" s="191"/>
      <c r="M152" s="135"/>
      <c r="N152" s="135"/>
      <c r="O152" s="78"/>
    </row>
    <row r="153" spans="1:15" x14ac:dyDescent="0.35">
      <c r="A153" s="189" t="s">
        <v>93</v>
      </c>
      <c r="B153" s="190" t="s">
        <v>129</v>
      </c>
      <c r="C153" s="192" t="s">
        <v>117</v>
      </c>
      <c r="D153" s="35"/>
      <c r="E153" s="35"/>
      <c r="F153" s="35"/>
      <c r="G153" s="46">
        <f t="shared" ref="G153:G157" si="124">IFERROR(ROUND((F153/D153)-1,3),0)</f>
        <v>0</v>
      </c>
      <c r="H153" s="58"/>
      <c r="I153" s="47">
        <f t="shared" ref="I153:I157" si="125">IFERROR(ROUND($D153*$H153,2),0)</f>
        <v>0</v>
      </c>
      <c r="J153" s="47">
        <f t="shared" ref="J153:J157" si="126">IFERROR(ROUND($E153*$H153,2),0)</f>
        <v>0</v>
      </c>
      <c r="K153" s="47">
        <f t="shared" ref="K153:K157" si="127">IFERROR(ROUND($F153*$H153,2),0)</f>
        <v>0</v>
      </c>
      <c r="L153" s="47">
        <f t="shared" ref="L153:L157" si="128">IFERROR(ROUND(K153-J153,2),0)</f>
        <v>0</v>
      </c>
      <c r="M153" s="24"/>
      <c r="O153" s="78"/>
    </row>
    <row r="154" spans="1:15" s="135" customFormat="1" x14ac:dyDescent="0.35">
      <c r="A154" s="189"/>
      <c r="B154" s="189"/>
      <c r="C154" s="192"/>
      <c r="D154" s="37"/>
      <c r="E154" s="37"/>
      <c r="F154" s="37"/>
      <c r="G154" s="46">
        <f t="shared" si="124"/>
        <v>0</v>
      </c>
      <c r="H154" s="58"/>
      <c r="I154" s="47">
        <f t="shared" si="125"/>
        <v>0</v>
      </c>
      <c r="J154" s="47">
        <f t="shared" si="126"/>
        <v>0</v>
      </c>
      <c r="K154" s="47">
        <f t="shared" si="127"/>
        <v>0</v>
      </c>
      <c r="L154" s="47">
        <f t="shared" si="128"/>
        <v>0</v>
      </c>
      <c r="M154" s="24"/>
      <c r="N154" s="24"/>
      <c r="O154" s="78"/>
    </row>
    <row r="155" spans="1:15" x14ac:dyDescent="0.35">
      <c r="A155" s="189"/>
      <c r="B155" s="189"/>
      <c r="C155" s="192"/>
      <c r="D155" s="37"/>
      <c r="E155" s="37"/>
      <c r="F155" s="37"/>
      <c r="G155" s="46">
        <f t="shared" si="124"/>
        <v>0</v>
      </c>
      <c r="H155" s="58"/>
      <c r="I155" s="47">
        <f t="shared" si="125"/>
        <v>0</v>
      </c>
      <c r="J155" s="47">
        <f t="shared" si="126"/>
        <v>0</v>
      </c>
      <c r="K155" s="47">
        <f t="shared" si="127"/>
        <v>0</v>
      </c>
      <c r="L155" s="47">
        <f t="shared" si="128"/>
        <v>0</v>
      </c>
      <c r="M155" s="24"/>
      <c r="O155" s="78"/>
    </row>
    <row r="156" spans="1:15" x14ac:dyDescent="0.35">
      <c r="A156" s="189"/>
      <c r="B156" s="189"/>
      <c r="C156" s="192"/>
      <c r="D156" s="37"/>
      <c r="E156" s="37"/>
      <c r="F156" s="37"/>
      <c r="G156" s="46">
        <f t="shared" si="124"/>
        <v>0</v>
      </c>
      <c r="H156" s="58"/>
      <c r="I156" s="47">
        <f t="shared" si="125"/>
        <v>0</v>
      </c>
      <c r="J156" s="47">
        <f t="shared" si="126"/>
        <v>0</v>
      </c>
      <c r="K156" s="47">
        <f t="shared" si="127"/>
        <v>0</v>
      </c>
      <c r="L156" s="47">
        <f t="shared" si="128"/>
        <v>0</v>
      </c>
      <c r="M156" s="24"/>
      <c r="O156" s="78"/>
    </row>
    <row r="157" spans="1:15" x14ac:dyDescent="0.35">
      <c r="A157" s="189"/>
      <c r="B157" s="189"/>
      <c r="C157" s="192"/>
      <c r="D157" s="37"/>
      <c r="E157" s="37"/>
      <c r="F157" s="37"/>
      <c r="G157" s="46">
        <f t="shared" si="124"/>
        <v>0</v>
      </c>
      <c r="H157" s="58"/>
      <c r="I157" s="47">
        <f t="shared" si="125"/>
        <v>0</v>
      </c>
      <c r="J157" s="47">
        <f t="shared" si="126"/>
        <v>0</v>
      </c>
      <c r="K157" s="47">
        <f t="shared" si="127"/>
        <v>0</v>
      </c>
      <c r="L157" s="47">
        <f t="shared" si="128"/>
        <v>0</v>
      </c>
      <c r="M157" s="24"/>
      <c r="O157" s="78"/>
    </row>
    <row r="158" spans="1:15" ht="29" x14ac:dyDescent="0.35">
      <c r="A158" s="189"/>
      <c r="B158" s="33" t="s">
        <v>119</v>
      </c>
      <c r="C158" s="33" t="s">
        <v>120</v>
      </c>
      <c r="D158" s="190"/>
      <c r="E158" s="190"/>
      <c r="F158" s="190"/>
      <c r="G158" s="190"/>
      <c r="H158" s="34"/>
      <c r="I158" s="34"/>
      <c r="J158" s="34"/>
      <c r="K158" s="34"/>
      <c r="L158" s="191"/>
      <c r="M158" s="135"/>
      <c r="N158" s="135"/>
      <c r="O158" s="78"/>
    </row>
    <row r="159" spans="1:15" x14ac:dyDescent="0.35">
      <c r="A159" s="189" t="s">
        <v>93</v>
      </c>
      <c r="B159" s="189" t="s">
        <v>121</v>
      </c>
      <c r="C159" s="192" t="s">
        <v>120</v>
      </c>
      <c r="D159" s="37"/>
      <c r="E159" s="37"/>
      <c r="F159" s="37"/>
      <c r="G159" s="46">
        <f t="shared" ref="G159:G163" si="129">IFERROR(ROUND((F159/D159)-1,3),0)</f>
        <v>0</v>
      </c>
      <c r="H159" s="58"/>
      <c r="I159" s="47">
        <f t="shared" ref="I159:I163" si="130">IFERROR(ROUND($D159*$H159,2),0)</f>
        <v>0</v>
      </c>
      <c r="J159" s="47">
        <f t="shared" ref="J159:J163" si="131">IFERROR(ROUND($E159*$H159,2),0)</f>
        <v>0</v>
      </c>
      <c r="K159" s="47">
        <f t="shared" ref="K159:K163" si="132">IFERROR(ROUND($F159*$H159,2),0)</f>
        <v>0</v>
      </c>
      <c r="L159" s="47">
        <f t="shared" ref="L159:L163" si="133">IFERROR(ROUND(K159-J159,2),0)</f>
        <v>0</v>
      </c>
      <c r="M159" s="24"/>
      <c r="O159" s="78"/>
    </row>
    <row r="160" spans="1:15" s="135" customFormat="1" x14ac:dyDescent="0.35">
      <c r="A160" s="189"/>
      <c r="B160" s="189"/>
      <c r="C160" s="192"/>
      <c r="D160" s="37"/>
      <c r="E160" s="37"/>
      <c r="F160" s="37"/>
      <c r="G160" s="46">
        <f t="shared" si="129"/>
        <v>0</v>
      </c>
      <c r="H160" s="58"/>
      <c r="I160" s="47">
        <f>IFERROR(ROUND($D160*$H160,2),0)</f>
        <v>0</v>
      </c>
      <c r="J160" s="47">
        <f t="shared" si="131"/>
        <v>0</v>
      </c>
      <c r="K160" s="47">
        <f t="shared" si="132"/>
        <v>0</v>
      </c>
      <c r="L160" s="47">
        <f t="shared" si="133"/>
        <v>0</v>
      </c>
      <c r="M160" s="24"/>
      <c r="N160" s="24"/>
      <c r="O160" s="78"/>
    </row>
    <row r="161" spans="1:15" x14ac:dyDescent="0.35">
      <c r="A161" s="189"/>
      <c r="B161" s="189"/>
      <c r="C161" s="192"/>
      <c r="D161" s="37"/>
      <c r="E161" s="37"/>
      <c r="F161" s="37"/>
      <c r="G161" s="46">
        <f t="shared" si="129"/>
        <v>0</v>
      </c>
      <c r="H161" s="58"/>
      <c r="I161" s="47">
        <f t="shared" si="130"/>
        <v>0</v>
      </c>
      <c r="J161" s="47">
        <f t="shared" si="131"/>
        <v>0</v>
      </c>
      <c r="K161" s="47">
        <f t="shared" si="132"/>
        <v>0</v>
      </c>
      <c r="L161" s="47">
        <f t="shared" si="133"/>
        <v>0</v>
      </c>
      <c r="M161" s="24"/>
      <c r="O161" s="78"/>
    </row>
    <row r="162" spans="1:15" x14ac:dyDescent="0.35">
      <c r="A162" s="189"/>
      <c r="B162" s="189"/>
      <c r="C162" s="192"/>
      <c r="D162" s="37"/>
      <c r="E162" s="37"/>
      <c r="F162" s="37"/>
      <c r="G162" s="46">
        <f t="shared" si="129"/>
        <v>0</v>
      </c>
      <c r="H162" s="58"/>
      <c r="I162" s="47">
        <f t="shared" si="130"/>
        <v>0</v>
      </c>
      <c r="J162" s="47">
        <f t="shared" si="131"/>
        <v>0</v>
      </c>
      <c r="K162" s="47">
        <f t="shared" si="132"/>
        <v>0</v>
      </c>
      <c r="L162" s="47">
        <f t="shared" si="133"/>
        <v>0</v>
      </c>
      <c r="M162" s="24"/>
      <c r="O162" s="78"/>
    </row>
    <row r="163" spans="1:15" x14ac:dyDescent="0.35">
      <c r="A163" s="189"/>
      <c r="B163" s="189"/>
      <c r="C163" s="192"/>
      <c r="D163" s="37"/>
      <c r="E163" s="37"/>
      <c r="F163" s="37"/>
      <c r="G163" s="46">
        <f t="shared" si="129"/>
        <v>0</v>
      </c>
      <c r="H163" s="58"/>
      <c r="I163" s="47">
        <f t="shared" si="130"/>
        <v>0</v>
      </c>
      <c r="J163" s="47">
        <f t="shared" si="131"/>
        <v>0</v>
      </c>
      <c r="K163" s="47">
        <f t="shared" si="132"/>
        <v>0</v>
      </c>
      <c r="L163" s="47">
        <f t="shared" si="133"/>
        <v>0</v>
      </c>
      <c r="M163" s="24"/>
      <c r="O163" s="78"/>
    </row>
    <row r="164" spans="1:15" s="135" customFormat="1" x14ac:dyDescent="0.35">
      <c r="A164" s="194"/>
      <c r="C164" s="40"/>
      <c r="D164" s="9"/>
      <c r="E164" s="9"/>
      <c r="F164" s="9"/>
      <c r="G164" s="9"/>
      <c r="H164" s="9"/>
      <c r="I164" s="10"/>
      <c r="J164" s="10"/>
      <c r="K164" s="10"/>
      <c r="L164" s="11"/>
      <c r="M164" s="24"/>
      <c r="N164" s="24"/>
      <c r="O164" s="78"/>
    </row>
    <row r="165" spans="1:15" x14ac:dyDescent="0.35">
      <c r="A165" s="194"/>
      <c r="B165" s="135"/>
      <c r="C165" s="40"/>
      <c r="D165" s="9"/>
      <c r="I165" s="10"/>
      <c r="L165" s="11"/>
      <c r="M165" s="24"/>
      <c r="O165" s="78"/>
    </row>
    <row r="166" spans="1:15" x14ac:dyDescent="0.35">
      <c r="A166" s="194"/>
      <c r="B166" s="135"/>
      <c r="C166" s="40"/>
      <c r="D166" s="9"/>
      <c r="I166" s="10"/>
      <c r="L166" s="11"/>
      <c r="M166" s="24"/>
      <c r="O166" s="78"/>
    </row>
    <row r="167" spans="1:15" s="135" customFormat="1" x14ac:dyDescent="0.35">
      <c r="A167" s="24"/>
      <c r="B167" s="194"/>
      <c r="D167" s="40"/>
      <c r="E167" s="9"/>
      <c r="F167" s="9"/>
      <c r="G167" s="9"/>
      <c r="H167" s="9"/>
      <c r="I167" s="9"/>
      <c r="J167" s="10"/>
      <c r="K167" s="10"/>
      <c r="L167" s="10"/>
      <c r="M167" s="11"/>
      <c r="N167" s="24"/>
      <c r="O167" s="78"/>
    </row>
    <row r="168" spans="1:15" x14ac:dyDescent="0.35">
      <c r="O168" s="78"/>
    </row>
    <row r="169" spans="1:15" x14ac:dyDescent="0.35">
      <c r="O169" s="78"/>
    </row>
    <row r="170" spans="1:15" x14ac:dyDescent="0.35">
      <c r="O170" s="78"/>
    </row>
    <row r="171" spans="1:15" x14ac:dyDescent="0.35">
      <c r="O171" s="78"/>
    </row>
    <row r="172" spans="1:15" x14ac:dyDescent="0.35">
      <c r="O172" s="78"/>
    </row>
    <row r="173" spans="1:15" x14ac:dyDescent="0.35">
      <c r="O173" s="78"/>
    </row>
    <row r="174" spans="1:15" x14ac:dyDescent="0.35">
      <c r="O174" s="78"/>
    </row>
    <row r="175" spans="1:15" x14ac:dyDescent="0.35">
      <c r="O175" s="78"/>
    </row>
    <row r="176" spans="1:15" x14ac:dyDescent="0.35">
      <c r="O176" s="78"/>
    </row>
    <row r="177" spans="15:15" x14ac:dyDescent="0.35">
      <c r="O177" s="78"/>
    </row>
    <row r="178" spans="15:15" x14ac:dyDescent="0.35">
      <c r="O178" s="78"/>
    </row>
    <row r="179" spans="15:15" x14ac:dyDescent="0.35">
      <c r="O179" s="78"/>
    </row>
    <row r="180" spans="15:15" x14ac:dyDescent="0.35">
      <c r="O180" s="78"/>
    </row>
    <row r="181" spans="15:15" x14ac:dyDescent="0.35">
      <c r="O181" s="78"/>
    </row>
    <row r="182" spans="15:15" x14ac:dyDescent="0.35">
      <c r="O182" s="78"/>
    </row>
    <row r="183" spans="15:15" x14ac:dyDescent="0.35">
      <c r="O183" s="78"/>
    </row>
    <row r="184" spans="15:15" x14ac:dyDescent="0.35">
      <c r="O184" s="78"/>
    </row>
    <row r="185" spans="15:15" x14ac:dyDescent="0.35">
      <c r="O185" s="78"/>
    </row>
    <row r="186" spans="15:15" x14ac:dyDescent="0.35">
      <c r="O186" s="78"/>
    </row>
  </sheetData>
  <mergeCells count="19">
    <mergeCell ref="C8:D8"/>
    <mergeCell ref="A9:B9"/>
    <mergeCell ref="A10:B10"/>
    <mergeCell ref="A7:B7"/>
    <mergeCell ref="A8:B8"/>
    <mergeCell ref="A1:B1"/>
    <mergeCell ref="A2:B2"/>
    <mergeCell ref="A3:B3"/>
    <mergeCell ref="A4:B4"/>
    <mergeCell ref="A5:B5"/>
    <mergeCell ref="I100:K100"/>
    <mergeCell ref="A12:A14"/>
    <mergeCell ref="A26:N27"/>
    <mergeCell ref="K29:M29"/>
    <mergeCell ref="A97:L98"/>
    <mergeCell ref="B12:F12"/>
    <mergeCell ref="G12:I12"/>
    <mergeCell ref="J12:L12"/>
    <mergeCell ref="M12:O12"/>
  </mergeCells>
  <conditionalFormatting sqref="F24">
    <cfRule type="expression" dxfId="5" priority="1">
      <formula>$F24="Fail"</formula>
    </cfRule>
    <cfRule type="expression" dxfId="4" priority="2">
      <formula>$F24="Pass"</formula>
    </cfRule>
  </conditionalFormatting>
  <conditionalFormatting sqref="F16:F22">
    <cfRule type="expression" dxfId="3" priority="3">
      <formula>$F16="Fail"</formula>
    </cfRule>
    <cfRule type="expression" dxfId="2" priority="4">
      <formula>$F16="Pass"</formula>
    </cfRule>
  </conditionalFormatting>
  <conditionalFormatting sqref="E23">
    <cfRule type="expression" dxfId="1" priority="5">
      <formula>$E23="Fail"</formula>
    </cfRule>
    <cfRule type="expression" dxfId="0" priority="6">
      <formula>$E23="Pass"</formula>
    </cfRule>
  </conditionalFormatting>
  <pageMargins left="0.25" right="0.25" top="0.75" bottom="0.75" header="0.3" footer="0.3"/>
  <pageSetup paperSize="5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5CADC-9977-43EB-9538-C1286313DC76}">
  <sheetPr codeName="Sheet5">
    <pageSetUpPr fitToPage="1"/>
  </sheetPr>
  <dimension ref="A1:A38"/>
  <sheetViews>
    <sheetView workbookViewId="0">
      <selection activeCell="A4" sqref="A4"/>
    </sheetView>
  </sheetViews>
  <sheetFormatPr defaultColWidth="9.1796875" defaultRowHeight="14.5" x14ac:dyDescent="0.35"/>
  <sheetData>
    <row r="1" spans="1:1" x14ac:dyDescent="0.35">
      <c r="A1" t="s">
        <v>146</v>
      </c>
    </row>
    <row r="2" spans="1:1" x14ac:dyDescent="0.35">
      <c r="A2" s="74" t="s">
        <v>163</v>
      </c>
    </row>
    <row r="3" spans="1:1" x14ac:dyDescent="0.35">
      <c r="A3" s="74" t="s">
        <v>181</v>
      </c>
    </row>
    <row r="34" spans="1:1" x14ac:dyDescent="0.35">
      <c r="A34" t="s">
        <v>147</v>
      </c>
    </row>
    <row r="35" spans="1:1" x14ac:dyDescent="0.35">
      <c r="A35" t="s">
        <v>148</v>
      </c>
    </row>
    <row r="36" spans="1:1" x14ac:dyDescent="0.35">
      <c r="A36" t="s">
        <v>149</v>
      </c>
    </row>
    <row r="38" spans="1:1" x14ac:dyDescent="0.35">
      <c r="A38" t="s">
        <v>150</v>
      </c>
    </row>
  </sheetData>
  <pageMargins left="0.25" right="0.25" top="0.75" bottom="0.75" header="0.3" footer="0.3"/>
  <pageSetup paperSize="5" scale="92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Exogenous Costs</vt:lpstr>
      <vt:lpstr>Factor Dev</vt:lpstr>
      <vt:lpstr>Study Area TRP</vt:lpstr>
      <vt:lpstr>Date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2022-04-11T15:09:53Z</dcterms:created>
  <dcterms:modified xsi:type="dcterms:W3CDTF">2023-06-01T21:33:32Z</dcterms:modified>
  <cp:category/>
  <cp:contentStatus/>
</cp:coreProperties>
</file>