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hidePivotFieldList="1" defaultThemeVersion="166925"/>
  <xr:revisionPtr revIDLastSave="0" documentId="8_{54ABF048-86F3-4FE8-95FF-713C94252335}" xr6:coauthVersionLast="44" xr6:coauthVersionMax="44" xr10:uidLastSave="{00000000-0000-0000-0000-000000000000}"/>
  <bookViews>
    <workbookView xWindow="-120" yWindow="-120" windowWidth="29040" windowHeight="15840" tabRatio="840" activeTab="3" xr2:uid="{00000000-000D-0000-FFFF-FFFF00000000}"/>
  </bookViews>
  <sheets>
    <sheet name="Instructions" sheetId="21" r:id="rId1"/>
    <sheet name="Exogenous Costs" sheetId="24" r:id="rId2"/>
    <sheet name="Factor Dev" sheetId="5" r:id="rId3"/>
    <sheet name="BDS Track 1 TRP" sheetId="66" r:id="rId4"/>
  </sheets>
  <definedNames>
    <definedName name="SA270426NONRECUR">#REF!</definedName>
    <definedName name="SA270426RECUR">#REF!</definedName>
    <definedName name="SA300658NONRECUR">#REF!</definedName>
    <definedName name="SA300658RECUR">#REF!</definedName>
    <definedName name="SA351156NONRECUR">#REF!</definedName>
    <definedName name="SA351156RECUR">#REF!</definedName>
    <definedName name="SA351343NONRECUR">#REF!</definedName>
    <definedName name="SA351343RECUR">#REF!</definedName>
    <definedName name="SA371574NONRECUR">#REF!</definedName>
    <definedName name="SA371574RECU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 i="66" l="1"/>
  <c r="L21" i="66"/>
  <c r="L20" i="66"/>
  <c r="L19" i="66"/>
  <c r="L18" i="66"/>
  <c r="L17" i="66"/>
  <c r="L16" i="66"/>
  <c r="K22" i="66"/>
  <c r="K21" i="66"/>
  <c r="K20" i="66"/>
  <c r="K19" i="66"/>
  <c r="K18" i="66"/>
  <c r="K17" i="66"/>
  <c r="K16" i="66"/>
  <c r="J22" i="66"/>
  <c r="J21" i="66"/>
  <c r="J20" i="66"/>
  <c r="J19" i="66"/>
  <c r="J18" i="66"/>
  <c r="J17" i="66"/>
  <c r="J16" i="66"/>
  <c r="I160" i="66" l="1"/>
  <c r="K163" i="66"/>
  <c r="L163" i="66" s="1"/>
  <c r="J163" i="66"/>
  <c r="I163" i="66"/>
  <c r="G163" i="66"/>
  <c r="K162" i="66"/>
  <c r="L162" i="66" s="1"/>
  <c r="J162" i="66"/>
  <c r="I162" i="66"/>
  <c r="G162" i="66"/>
  <c r="K161" i="66"/>
  <c r="L161" i="66" s="1"/>
  <c r="J161" i="66"/>
  <c r="I161" i="66"/>
  <c r="G161" i="66"/>
  <c r="K160" i="66"/>
  <c r="J160" i="66"/>
  <c r="G160" i="66"/>
  <c r="K157" i="66"/>
  <c r="L157" i="66" s="1"/>
  <c r="J157" i="66"/>
  <c r="I157" i="66"/>
  <c r="G157" i="66"/>
  <c r="K156" i="66"/>
  <c r="J156" i="66"/>
  <c r="I156" i="66"/>
  <c r="G156" i="66"/>
  <c r="K155" i="66"/>
  <c r="J155" i="66"/>
  <c r="I155" i="66"/>
  <c r="G155" i="66"/>
  <c r="K154" i="66"/>
  <c r="J154" i="66"/>
  <c r="I154" i="66"/>
  <c r="G154" i="66"/>
  <c r="K145" i="66"/>
  <c r="J145" i="66"/>
  <c r="I145" i="66"/>
  <c r="G145" i="66"/>
  <c r="K144" i="66"/>
  <c r="J144" i="66"/>
  <c r="I144" i="66"/>
  <c r="G144" i="66"/>
  <c r="K143" i="66"/>
  <c r="L143" i="66" s="1"/>
  <c r="J143" i="66"/>
  <c r="I143" i="66"/>
  <c r="G143" i="66"/>
  <c r="K142" i="66"/>
  <c r="J142" i="66"/>
  <c r="I142" i="66"/>
  <c r="G142" i="66"/>
  <c r="G141" i="66"/>
  <c r="I141" i="66"/>
  <c r="J141" i="66"/>
  <c r="K141" i="66"/>
  <c r="K139" i="66"/>
  <c r="J139" i="66"/>
  <c r="I139" i="66"/>
  <c r="G139" i="66"/>
  <c r="K138" i="66"/>
  <c r="J138" i="66"/>
  <c r="I138" i="66"/>
  <c r="G138" i="66"/>
  <c r="K137" i="66"/>
  <c r="J137" i="66"/>
  <c r="I137" i="66"/>
  <c r="G137" i="66"/>
  <c r="K136" i="66"/>
  <c r="J136" i="66"/>
  <c r="I136" i="66"/>
  <c r="G136" i="66"/>
  <c r="K133" i="66"/>
  <c r="J133" i="66"/>
  <c r="I133" i="66"/>
  <c r="G133" i="66"/>
  <c r="K132" i="66"/>
  <c r="J132" i="66"/>
  <c r="I132" i="66"/>
  <c r="G132" i="66"/>
  <c r="K131" i="66"/>
  <c r="J131" i="66"/>
  <c r="I131" i="66"/>
  <c r="G131" i="66"/>
  <c r="K130" i="66"/>
  <c r="J130" i="66"/>
  <c r="I130" i="66"/>
  <c r="G130" i="66"/>
  <c r="K127" i="66"/>
  <c r="J127" i="66"/>
  <c r="I127" i="66"/>
  <c r="G127" i="66"/>
  <c r="K126" i="66"/>
  <c r="J126" i="66"/>
  <c r="I126" i="66"/>
  <c r="G126" i="66"/>
  <c r="K125" i="66"/>
  <c r="J125" i="66"/>
  <c r="I125" i="66"/>
  <c r="G125" i="66"/>
  <c r="K124" i="66"/>
  <c r="J124" i="66"/>
  <c r="I124" i="66"/>
  <c r="G124" i="66"/>
  <c r="K121" i="66"/>
  <c r="J121" i="66"/>
  <c r="I121" i="66"/>
  <c r="G121" i="66"/>
  <c r="K120" i="66"/>
  <c r="J120" i="66"/>
  <c r="I120" i="66"/>
  <c r="G120" i="66"/>
  <c r="K119" i="66"/>
  <c r="J119" i="66"/>
  <c r="I119" i="66"/>
  <c r="G119" i="66"/>
  <c r="K118" i="66"/>
  <c r="J118" i="66"/>
  <c r="I118" i="66"/>
  <c r="G118" i="66"/>
  <c r="K115" i="66"/>
  <c r="J115" i="66"/>
  <c r="I115" i="66"/>
  <c r="G115" i="66"/>
  <c r="K114" i="66"/>
  <c r="J114" i="66"/>
  <c r="I114" i="66"/>
  <c r="G114" i="66"/>
  <c r="K113" i="66"/>
  <c r="J113" i="66"/>
  <c r="I113" i="66"/>
  <c r="G113" i="66"/>
  <c r="K112" i="66"/>
  <c r="J112" i="66"/>
  <c r="I112" i="66"/>
  <c r="G112" i="66"/>
  <c r="K109" i="66"/>
  <c r="J109" i="66"/>
  <c r="I109" i="66"/>
  <c r="G109" i="66"/>
  <c r="K108" i="66"/>
  <c r="J108" i="66"/>
  <c r="I108" i="66"/>
  <c r="G108" i="66"/>
  <c r="K107" i="66"/>
  <c r="J107" i="66"/>
  <c r="I107" i="66"/>
  <c r="G107" i="66"/>
  <c r="M92" i="66"/>
  <c r="L92" i="66"/>
  <c r="K92" i="66"/>
  <c r="G92" i="66"/>
  <c r="M91" i="66"/>
  <c r="L91" i="66"/>
  <c r="K91" i="66"/>
  <c r="G91" i="66"/>
  <c r="M90" i="66"/>
  <c r="L90" i="66"/>
  <c r="K90" i="66"/>
  <c r="G90" i="66"/>
  <c r="M89" i="66"/>
  <c r="L89" i="66"/>
  <c r="K89" i="66"/>
  <c r="G89" i="66"/>
  <c r="M86" i="66"/>
  <c r="L86" i="66"/>
  <c r="K86" i="66"/>
  <c r="G86" i="66"/>
  <c r="M85" i="66"/>
  <c r="L85" i="66"/>
  <c r="K85" i="66"/>
  <c r="G85" i="66"/>
  <c r="M84" i="66"/>
  <c r="L84" i="66"/>
  <c r="K84" i="66"/>
  <c r="G84" i="66"/>
  <c r="M83" i="66"/>
  <c r="L83" i="66"/>
  <c r="K83" i="66"/>
  <c r="G83" i="66"/>
  <c r="K41" i="66"/>
  <c r="L41" i="66"/>
  <c r="M41" i="66"/>
  <c r="K42" i="66"/>
  <c r="L42" i="66"/>
  <c r="M42" i="66"/>
  <c r="K43" i="66"/>
  <c r="L43" i="66"/>
  <c r="M43" i="66"/>
  <c r="K44" i="66"/>
  <c r="L44" i="66"/>
  <c r="M44" i="66"/>
  <c r="G41" i="66"/>
  <c r="G42" i="66"/>
  <c r="G43" i="66"/>
  <c r="G44" i="66"/>
  <c r="A3" i="66"/>
  <c r="A4" i="66"/>
  <c r="A2" i="66"/>
  <c r="L155" i="66" l="1"/>
  <c r="L156" i="66"/>
  <c r="L160" i="66"/>
  <c r="L154" i="66"/>
  <c r="L133" i="66"/>
  <c r="L112" i="66"/>
  <c r="L136" i="66"/>
  <c r="L145" i="66"/>
  <c r="L144" i="66"/>
  <c r="L126" i="66"/>
  <c r="L139" i="66"/>
  <c r="L142" i="66"/>
  <c r="L141" i="66"/>
  <c r="L121" i="66"/>
  <c r="L137" i="66"/>
  <c r="L138" i="66"/>
  <c r="L124" i="66"/>
  <c r="L130" i="66"/>
  <c r="L125" i="66"/>
  <c r="L131" i="66"/>
  <c r="L115" i="66"/>
  <c r="L127" i="66"/>
  <c r="L119" i="66"/>
  <c r="L120" i="66"/>
  <c r="L132" i="66"/>
  <c r="L118" i="66"/>
  <c r="L113" i="66"/>
  <c r="N86" i="66"/>
  <c r="L108" i="66"/>
  <c r="L114" i="66"/>
  <c r="N92" i="66"/>
  <c r="L107" i="66"/>
  <c r="N42" i="66"/>
  <c r="N41" i="66"/>
  <c r="N83" i="66"/>
  <c r="L109" i="66"/>
  <c r="N90" i="66"/>
  <c r="N89" i="66"/>
  <c r="N91" i="66"/>
  <c r="N44" i="66"/>
  <c r="N85" i="66"/>
  <c r="N84" i="66"/>
  <c r="N43" i="66"/>
  <c r="G12" i="24"/>
  <c r="G11" i="24"/>
  <c r="G10" i="24"/>
  <c r="G159" i="66" l="1"/>
  <c r="G153" i="66"/>
  <c r="G151" i="66"/>
  <c r="G150" i="66"/>
  <c r="G149" i="66"/>
  <c r="G148" i="66"/>
  <c r="G147" i="66"/>
  <c r="G135" i="66"/>
  <c r="G129" i="66"/>
  <c r="G123" i="66"/>
  <c r="G117" i="66"/>
  <c r="G111" i="66"/>
  <c r="G106" i="66"/>
  <c r="G105" i="66"/>
  <c r="G88" i="66"/>
  <c r="G82" i="66"/>
  <c r="G80" i="66"/>
  <c r="G79" i="66"/>
  <c r="G78" i="66"/>
  <c r="G77" i="66"/>
  <c r="G76" i="66"/>
  <c r="G74" i="66"/>
  <c r="G73" i="66"/>
  <c r="G72" i="66"/>
  <c r="G71" i="66"/>
  <c r="G70" i="66"/>
  <c r="G68" i="66"/>
  <c r="G67" i="66"/>
  <c r="G66" i="66"/>
  <c r="G65" i="66"/>
  <c r="G64" i="66"/>
  <c r="G62" i="66"/>
  <c r="G61" i="66"/>
  <c r="G60" i="66"/>
  <c r="G59" i="66"/>
  <c r="G58" i="66"/>
  <c r="G56" i="66"/>
  <c r="G55" i="66"/>
  <c r="G54" i="66"/>
  <c r="G53" i="66"/>
  <c r="G52" i="66"/>
  <c r="G50" i="66"/>
  <c r="G49" i="66"/>
  <c r="G48" i="66"/>
  <c r="G47" i="66"/>
  <c r="G46" i="66"/>
  <c r="G40" i="66"/>
  <c r="G38" i="66"/>
  <c r="G37" i="66"/>
  <c r="G36" i="66"/>
  <c r="G35" i="66"/>
  <c r="G34" i="66"/>
  <c r="K159" i="66"/>
  <c r="J159" i="66"/>
  <c r="I159" i="66"/>
  <c r="K153" i="66"/>
  <c r="J153" i="66"/>
  <c r="I153" i="66"/>
  <c r="K151" i="66"/>
  <c r="J151" i="66"/>
  <c r="I151" i="66"/>
  <c r="K150" i="66"/>
  <c r="J150" i="66"/>
  <c r="I150" i="66"/>
  <c r="K149" i="66"/>
  <c r="J149" i="66"/>
  <c r="I149" i="66"/>
  <c r="K148" i="66"/>
  <c r="J148" i="66"/>
  <c r="I148" i="66"/>
  <c r="K147" i="66"/>
  <c r="J147" i="66"/>
  <c r="I147" i="66"/>
  <c r="K135" i="66"/>
  <c r="J135" i="66"/>
  <c r="I135" i="66"/>
  <c r="K129" i="66"/>
  <c r="J129" i="66"/>
  <c r="I129" i="66"/>
  <c r="K123" i="66"/>
  <c r="J123" i="66"/>
  <c r="I123" i="66"/>
  <c r="K117" i="66"/>
  <c r="J117" i="66"/>
  <c r="I117" i="66"/>
  <c r="K111" i="66"/>
  <c r="J111" i="66"/>
  <c r="I111" i="66"/>
  <c r="K106" i="66"/>
  <c r="J106" i="66"/>
  <c r="I106" i="66"/>
  <c r="K105" i="66"/>
  <c r="J105" i="66"/>
  <c r="I105" i="66"/>
  <c r="M88" i="66"/>
  <c r="L88" i="66"/>
  <c r="K88" i="66"/>
  <c r="M82" i="66"/>
  <c r="L82" i="66"/>
  <c r="H21" i="66" s="1"/>
  <c r="K82" i="66"/>
  <c r="G21" i="66" s="1"/>
  <c r="M80" i="66"/>
  <c r="L80" i="66"/>
  <c r="K80" i="66"/>
  <c r="M79" i="66"/>
  <c r="L79" i="66"/>
  <c r="K79" i="66"/>
  <c r="M78" i="66"/>
  <c r="L78" i="66"/>
  <c r="K78" i="66"/>
  <c r="M77" i="66"/>
  <c r="L77" i="66"/>
  <c r="K77" i="66"/>
  <c r="M76" i="66"/>
  <c r="L76" i="66"/>
  <c r="K76" i="66"/>
  <c r="M74" i="66"/>
  <c r="L74" i="66"/>
  <c r="K74" i="66"/>
  <c r="M73" i="66"/>
  <c r="L73" i="66"/>
  <c r="K73" i="66"/>
  <c r="M72" i="66"/>
  <c r="L72" i="66"/>
  <c r="K72" i="66"/>
  <c r="M71" i="66"/>
  <c r="L71" i="66"/>
  <c r="K71" i="66"/>
  <c r="M70" i="66"/>
  <c r="L70" i="66"/>
  <c r="K70" i="66"/>
  <c r="M68" i="66"/>
  <c r="L68" i="66"/>
  <c r="K68" i="66"/>
  <c r="M67" i="66"/>
  <c r="L67" i="66"/>
  <c r="K67" i="66"/>
  <c r="M66" i="66"/>
  <c r="L66" i="66"/>
  <c r="K66" i="66"/>
  <c r="M65" i="66"/>
  <c r="L65" i="66"/>
  <c r="K65" i="66"/>
  <c r="M64" i="66"/>
  <c r="L64" i="66"/>
  <c r="K64" i="66"/>
  <c r="M62" i="66"/>
  <c r="L62" i="66"/>
  <c r="K62" i="66"/>
  <c r="M61" i="66"/>
  <c r="L61" i="66"/>
  <c r="K61" i="66"/>
  <c r="M60" i="66"/>
  <c r="L60" i="66"/>
  <c r="K60" i="66"/>
  <c r="M59" i="66"/>
  <c r="L59" i="66"/>
  <c r="K59" i="66"/>
  <c r="M58" i="66"/>
  <c r="L58" i="66"/>
  <c r="K58" i="66"/>
  <c r="M56" i="66"/>
  <c r="L56" i="66"/>
  <c r="K56" i="66"/>
  <c r="M55" i="66"/>
  <c r="L55" i="66"/>
  <c r="K55" i="66"/>
  <c r="M54" i="66"/>
  <c r="L54" i="66"/>
  <c r="K54" i="66"/>
  <c r="M53" i="66"/>
  <c r="L53" i="66"/>
  <c r="K53" i="66"/>
  <c r="M52" i="66"/>
  <c r="L52" i="66"/>
  <c r="K52" i="66"/>
  <c r="M50" i="66"/>
  <c r="L50" i="66"/>
  <c r="K50" i="66"/>
  <c r="M49" i="66"/>
  <c r="L49" i="66"/>
  <c r="K49" i="66"/>
  <c r="M48" i="66"/>
  <c r="L48" i="66"/>
  <c r="K48" i="66"/>
  <c r="M47" i="66"/>
  <c r="L47" i="66"/>
  <c r="K47" i="66"/>
  <c r="M46" i="66"/>
  <c r="L46" i="66"/>
  <c r="K46" i="66"/>
  <c r="M40" i="66"/>
  <c r="L40" i="66"/>
  <c r="K40" i="66"/>
  <c r="M38" i="66"/>
  <c r="L38" i="66"/>
  <c r="K38" i="66"/>
  <c r="M37" i="66"/>
  <c r="L37" i="66"/>
  <c r="K37" i="66"/>
  <c r="M36" i="66"/>
  <c r="L36" i="66"/>
  <c r="K36" i="66"/>
  <c r="M35" i="66"/>
  <c r="L35" i="66"/>
  <c r="K35" i="66"/>
  <c r="M34" i="66"/>
  <c r="L34" i="66"/>
  <c r="K34" i="66"/>
  <c r="N20" i="24"/>
  <c r="I20" i="24"/>
  <c r="J20" i="24" s="1"/>
  <c r="K20" i="24" s="1"/>
  <c r="N82" i="66" l="1"/>
  <c r="N59" i="66"/>
  <c r="G16" i="66"/>
  <c r="L135" i="66"/>
  <c r="N78" i="66"/>
  <c r="L105" i="66"/>
  <c r="G19" i="66"/>
  <c r="H19" i="66"/>
  <c r="H16" i="66"/>
  <c r="I21" i="66"/>
  <c r="N54" i="66"/>
  <c r="N73" i="66"/>
  <c r="N74" i="66"/>
  <c r="I17" i="66"/>
  <c r="N55" i="66"/>
  <c r="N62" i="66"/>
  <c r="N72" i="66"/>
  <c r="I19" i="66"/>
  <c r="N46" i="66"/>
  <c r="H20" i="66"/>
  <c r="N64" i="66"/>
  <c r="H17" i="66"/>
  <c r="G20" i="66"/>
  <c r="N49" i="66"/>
  <c r="N77" i="66"/>
  <c r="N48" i="66"/>
  <c r="G17" i="66"/>
  <c r="N65" i="66"/>
  <c r="N50" i="66"/>
  <c r="N60" i="66"/>
  <c r="L129" i="66"/>
  <c r="I18" i="66"/>
  <c r="I16" i="66"/>
  <c r="N66" i="66"/>
  <c r="N79" i="66"/>
  <c r="I20" i="66"/>
  <c r="N61" i="66"/>
  <c r="N80" i="66"/>
  <c r="L147" i="66"/>
  <c r="N68" i="66"/>
  <c r="L148" i="66"/>
  <c r="N37" i="66"/>
  <c r="L106" i="66"/>
  <c r="L149" i="66"/>
  <c r="N53" i="66"/>
  <c r="N71" i="66"/>
  <c r="N70" i="66"/>
  <c r="N38" i="66"/>
  <c r="L111" i="66"/>
  <c r="L150" i="66"/>
  <c r="N52" i="66"/>
  <c r="N67" i="66"/>
  <c r="N40" i="66"/>
  <c r="L117" i="66"/>
  <c r="L151" i="66"/>
  <c r="G18" i="66"/>
  <c r="N88" i="66"/>
  <c r="N35" i="66"/>
  <c r="N47" i="66"/>
  <c r="L153" i="66"/>
  <c r="N76" i="66"/>
  <c r="L123" i="66"/>
  <c r="L159" i="66"/>
  <c r="H18" i="66"/>
  <c r="N36" i="66"/>
  <c r="N56" i="66"/>
  <c r="N58" i="66"/>
  <c r="O20" i="24"/>
  <c r="Q20" i="24"/>
  <c r="P20" i="24"/>
  <c r="N34" i="66"/>
  <c r="N19" i="24"/>
  <c r="I22" i="66" l="1"/>
  <c r="H22" i="66"/>
  <c r="G22" i="66"/>
  <c r="L102" i="66"/>
  <c r="K102" i="66"/>
  <c r="J102" i="66"/>
  <c r="I102" i="66"/>
  <c r="H102" i="66"/>
  <c r="G102" i="66"/>
  <c r="F102" i="66"/>
  <c r="E102" i="66"/>
  <c r="D102" i="66"/>
  <c r="C102" i="66"/>
  <c r="N31" i="66"/>
  <c r="M31" i="66"/>
  <c r="L31" i="66"/>
  <c r="K31" i="66"/>
  <c r="J31" i="66"/>
  <c r="I31" i="66"/>
  <c r="H31" i="66"/>
  <c r="G31" i="66"/>
  <c r="F31" i="66"/>
  <c r="E31" i="66"/>
  <c r="D31" i="66"/>
  <c r="C31" i="66"/>
  <c r="O14" i="66"/>
  <c r="N14" i="66"/>
  <c r="M14" i="66"/>
  <c r="L14" i="66"/>
  <c r="K14" i="66"/>
  <c r="J14" i="66"/>
  <c r="I14" i="66"/>
  <c r="H14" i="66"/>
  <c r="G14" i="66"/>
  <c r="F14" i="66"/>
  <c r="E14" i="66"/>
  <c r="D14" i="66"/>
  <c r="C14" i="66"/>
  <c r="G16" i="5" l="1"/>
  <c r="K14" i="5"/>
  <c r="J14" i="5"/>
  <c r="I14" i="5"/>
  <c r="H14" i="5"/>
  <c r="G14" i="5"/>
  <c r="F14" i="5"/>
  <c r="E14" i="5"/>
  <c r="R19" i="24"/>
  <c r="N18" i="24"/>
  <c r="M18" i="24"/>
  <c r="F16" i="5" l="1"/>
  <c r="C10" i="66" l="1"/>
  <c r="G15" i="5" l="1"/>
  <c r="A1" i="24" l="1"/>
  <c r="A1" i="66" l="1"/>
  <c r="M19" i="66" l="1"/>
  <c r="L103" i="66"/>
  <c r="J103" i="66"/>
  <c r="M21" i="66"/>
  <c r="I103" i="66"/>
  <c r="O21" i="66"/>
  <c r="M20" i="66"/>
  <c r="O19" i="66"/>
  <c r="O18" i="66" l="1"/>
  <c r="O17" i="66"/>
  <c r="O16" i="66"/>
  <c r="M18" i="66"/>
  <c r="M17" i="66"/>
  <c r="M16" i="66"/>
  <c r="O20" i="66"/>
  <c r="N32" i="66"/>
  <c r="M32" i="66"/>
  <c r="L32" i="66"/>
  <c r="K32" i="66"/>
  <c r="O15" i="66"/>
  <c r="E15" i="66"/>
  <c r="M22" i="66" l="1"/>
  <c r="M15" i="66"/>
  <c r="N15" i="66"/>
  <c r="D15" i="66"/>
  <c r="G32" i="66" l="1"/>
  <c r="F15" i="66"/>
  <c r="G103" i="66"/>
  <c r="K103" i="66"/>
  <c r="N21" i="66" l="1"/>
  <c r="D21" i="66" l="1"/>
  <c r="N17" i="66"/>
  <c r="N18" i="66"/>
  <c r="N19" i="66"/>
  <c r="N20" i="66"/>
  <c r="N16" i="66"/>
  <c r="D18" i="66" l="1"/>
  <c r="D16" i="66"/>
  <c r="D17" i="66"/>
  <c r="D20" i="66"/>
  <c r="D19" i="66"/>
  <c r="N22" i="66"/>
  <c r="O22" i="66"/>
  <c r="D22" i="66" l="1"/>
  <c r="F15" i="5" l="1"/>
  <c r="A4" i="5"/>
  <c r="A3" i="5"/>
  <c r="A2" i="5"/>
  <c r="A1" i="5"/>
  <c r="R18" i="24"/>
  <c r="H15" i="5" s="1"/>
  <c r="Q18" i="24"/>
  <c r="P18" i="24"/>
  <c r="O18" i="24"/>
  <c r="L18" i="24"/>
  <c r="K18" i="24"/>
  <c r="J18" i="24"/>
  <c r="I18" i="24"/>
  <c r="H18" i="24"/>
  <c r="G18" i="24"/>
  <c r="F18" i="24"/>
  <c r="E18" i="24"/>
  <c r="O19" i="24" l="1"/>
  <c r="Q19" i="24"/>
  <c r="I15" i="5"/>
  <c r="K15" i="5"/>
  <c r="I19" i="24"/>
  <c r="P19" i="24"/>
  <c r="J19" i="24"/>
  <c r="K19" i="24"/>
  <c r="R20" i="24" l="1"/>
  <c r="H16" i="5" s="1"/>
  <c r="I16" i="5" l="1"/>
  <c r="K16" i="5" s="1"/>
  <c r="C9" i="66" l="1"/>
  <c r="E19" i="66" l="1"/>
  <c r="F19" i="66" s="1"/>
  <c r="E21" i="66"/>
  <c r="F21" i="66" s="1"/>
  <c r="E16" i="66"/>
  <c r="F16" i="66" s="1"/>
  <c r="E17" i="66"/>
  <c r="F17" i="66" s="1"/>
  <c r="E18" i="66"/>
  <c r="F18" i="66" s="1"/>
  <c r="E22" i="66"/>
  <c r="F22" i="66" s="1"/>
  <c r="E20" i="66"/>
  <c r="F20" i="66" s="1"/>
</calcChain>
</file>

<file path=xl/sharedStrings.xml><?xml version="1.0" encoding="utf-8"?>
<sst xmlns="http://schemas.openxmlformats.org/spreadsheetml/2006/main" count="295" uniqueCount="164">
  <si>
    <t>Productivity Factor 
(X Factor)</t>
  </si>
  <si>
    <t>Service 
Category</t>
  </si>
  <si>
    <t>Input</t>
  </si>
  <si>
    <t>Holding Company ID</t>
  </si>
  <si>
    <t>Holding Company Name</t>
  </si>
  <si>
    <t>Service Band</t>
  </si>
  <si>
    <t>Study Area ID</t>
  </si>
  <si>
    <t>Study Area Name</t>
  </si>
  <si>
    <t xml:space="preserve">    DS1</t>
  </si>
  <si>
    <t xml:space="preserve">    DS3</t>
  </si>
  <si>
    <t>Study Area Code:</t>
  </si>
  <si>
    <t>Study Area Name:</t>
  </si>
  <si>
    <t>Annual Revenues</t>
  </si>
  <si>
    <t>Recurring Charges</t>
  </si>
  <si>
    <t>Tariff Rate Element</t>
  </si>
  <si>
    <t xml:space="preserve">Filing Entity:  </t>
  </si>
  <si>
    <t>Non-recurring Charges</t>
  </si>
  <si>
    <t>Use Instructions</t>
  </si>
  <si>
    <t>File Includes the following tabs:</t>
  </si>
  <si>
    <t>Tariff Reference</t>
  </si>
  <si>
    <t>Study Area Dashboard</t>
  </si>
  <si>
    <t>At Proposed Rate</t>
  </si>
  <si>
    <t>Wideband Data and Wideband Analog Services</t>
  </si>
  <si>
    <t>Source</t>
  </si>
  <si>
    <t>GDP-PI Q4 2018</t>
  </si>
  <si>
    <t>VG</t>
  </si>
  <si>
    <t>WATS</t>
  </si>
  <si>
    <t>METAL</t>
  </si>
  <si>
    <t>** TELEGRAPH SPECIAL ACCESS SVCS **</t>
  </si>
  <si>
    <t>** METALLIC SPECIAL ACCESS SVCS**</t>
  </si>
  <si>
    <t>** WATS SPECIAL ACCESS SVCS**</t>
  </si>
  <si>
    <t>** VOICE GRADE SPECIAL ACCESS SVCS **</t>
  </si>
  <si>
    <t>** AUDIO AND VIDEO SERVICES **</t>
  </si>
  <si>
    <t>AV</t>
  </si>
  <si>
    <t>** DS1 SPECIAL ACCESS SERVICES **</t>
  </si>
  <si>
    <t>DS1</t>
  </si>
  <si>
    <t>** DS3 SPECIAL ACCESS SERVICES **</t>
  </si>
  <si>
    <t>DS3</t>
  </si>
  <si>
    <t>Audio and Video Services</t>
  </si>
  <si>
    <t>** DDS Services **</t>
  </si>
  <si>
    <t>DDS</t>
  </si>
  <si>
    <t>** WIDEBAND DATA AND WIDEBAND ANALOG SVCS **</t>
  </si>
  <si>
    <t>WIDE</t>
  </si>
  <si>
    <t>TGR</t>
  </si>
  <si>
    <t>High Capacity (DS1 and DS3) + DDS</t>
  </si>
  <si>
    <t>FCC 61.45(b)(1)(iv)</t>
  </si>
  <si>
    <t>** MISCELLANEOUS CHARGES **
(Access ordering, additional labor, etc.)</t>
  </si>
  <si>
    <t>MISC</t>
  </si>
  <si>
    <t>Annual Recurring Revenue</t>
  </si>
  <si>
    <t>Annual Non-recurring Revenue</t>
  </si>
  <si>
    <t>https://apps.bea.gov/iTable/iTable.cfm?reqid=19&amp;step=2</t>
  </si>
  <si>
    <t>Reg Fee</t>
  </si>
  <si>
    <t>TRS Fee</t>
  </si>
  <si>
    <t>NANPA Fee</t>
  </si>
  <si>
    <t>Incremental Exogenous Costs - BDS Non Competitive Services</t>
  </si>
  <si>
    <t>Incremental Fee Per $ Revenue</t>
  </si>
  <si>
    <t>Voice Grade, WATS, Metallic and Telegraph Special Access Services</t>
  </si>
  <si>
    <t>Percent Rate Change
from Current Rate to Proposed Rate</t>
  </si>
  <si>
    <t>Percent Change in GDP-PI
(GDP-PI)</t>
  </si>
  <si>
    <t>Ratio of the Sum of Annual Revenues Plus Exogenous Cost Changes to Annual Revenues 
(w)</t>
  </si>
  <si>
    <t>Difference Proposed - Adjusted Current</t>
  </si>
  <si>
    <t>Total Annual Revenue</t>
  </si>
  <si>
    <t>Incremental Exogenous Costs for BDS Services
(Z)</t>
  </si>
  <si>
    <t>Average Monthly Revenue</t>
  </si>
  <si>
    <t>Sum of Recurring Charges at Proposed  Rates X 12</t>
  </si>
  <si>
    <t>Line No.</t>
  </si>
  <si>
    <t>Total (Lines 1, 2, 5, 6 and Miscellaneous Charges)</t>
  </si>
  <si>
    <t>Exogenous Costs</t>
  </si>
  <si>
    <t>Study Area TRP</t>
  </si>
  <si>
    <t>Factor</t>
  </si>
  <si>
    <t>Source FCC Order</t>
  </si>
  <si>
    <t>Contribution Factor Embedded in Existing Rates</t>
  </si>
  <si>
    <t>Reg Fee Factor:</t>
  </si>
  <si>
    <t>TRS Factor:</t>
  </si>
  <si>
    <t>NANPA Factor:</t>
  </si>
  <si>
    <t xml:space="preserve"> </t>
  </si>
  <si>
    <t xml:space="preserve">The holding company BDS TRP is for carriers that establish a PCI, API, SBIs, and upper SBI limits at the holding company level.  </t>
  </si>
  <si>
    <t>Current entries are illustrative.  Use actual data and modify spacing as needed.</t>
  </si>
  <si>
    <t>Study Area Proposed PCI</t>
  </si>
  <si>
    <t>Pass if Proposed SBI Less Than or Equal to SBI Limit, or if Proposed API Less Than or Equal To Proposed PCI</t>
  </si>
  <si>
    <t xml:space="preserve">revise the relevant column headings to reflect these other term lengths, and revise the relevant formulas to reflect these other discounts to calculate </t>
  </si>
  <si>
    <t xml:space="preserve">The term discount plans in the study area worksheet are examples.  If a carrier offers discount plans with other term lengths and/or discounts, </t>
  </si>
  <si>
    <t>the revenues for these plans.</t>
  </si>
  <si>
    <t xml:space="preserve">Enter data in cells marked 'Input'.  Output fields yield values based on formulas and input data. </t>
  </si>
  <si>
    <t>Factor Dev(elopment)</t>
  </si>
  <si>
    <t xml:space="preserve">Enter average monthly demand for monthly recurring rate elements over the entire base period and annual demand for non-recurring rate elements for  </t>
  </si>
  <si>
    <t xml:space="preserve">the base period in the study area worksheet to calculate the revenues used in the price cap formulas.  The worksheet multiplies monthly revenues  </t>
  </si>
  <si>
    <t>derived from monthly recurring rates and average monthly demand by 12 to obtain annual revenues.</t>
  </si>
  <si>
    <t>Existing Factor Value</t>
  </si>
  <si>
    <t>NA</t>
  </si>
  <si>
    <t>Input from 2020 FCC Form 499A</t>
  </si>
  <si>
    <t>GDP-PI Q4 2019</t>
  </si>
  <si>
    <t>Average Monthly Demand Over Base Period (Calendar Year 2019)</t>
  </si>
  <si>
    <t>EXAMPLE TERM DISCOUNT PLAN
Average Monthly Demand Over Base Period (Calendar Year 2019) In a 
5-YR Term Plan Demand
(20% Discount)</t>
  </si>
  <si>
    <t>EXAMPLE TERM DISCOUNT PLAN
Average Monthly Demand Over Base Period (Calendar Year 2019) In a 
3-YR Term Plan Demand
(10% Discount)</t>
  </si>
  <si>
    <t>Cumulative Demand Over Base Period (Calendar Year 2019)</t>
  </si>
  <si>
    <t>Study Area Current PCI</t>
  </si>
  <si>
    <t>Study Area Current PCI:</t>
  </si>
  <si>
    <t>Study Area Proposed PCI:</t>
  </si>
  <si>
    <t>Current Service Band Index
(SBI) or Actual Price Index (API)</t>
  </si>
  <si>
    <t>Proposed SBI
 or
Proposed API</t>
  </si>
  <si>
    <t>Sum of Recurring Charges at Rates at Last PCI Update X 12</t>
  </si>
  <si>
    <t>Sum of Recurring Charges at Current Rates X 12</t>
  </si>
  <si>
    <t xml:space="preserve">Proposed SBI Upper Limit 
or 
Proposed PCI </t>
  </si>
  <si>
    <t>Current Rate (June 30, 2020)</t>
  </si>
  <si>
    <t>Proposed Rate (July 1, 2020)</t>
  </si>
  <si>
    <t>At Last PCI Update</t>
  </si>
  <si>
    <t>At Current Rate</t>
  </si>
  <si>
    <t>Rate at Last PCI Update (October 1, 2019)</t>
  </si>
  <si>
    <t>BDS Track 1 EC</t>
  </si>
  <si>
    <t xml:space="preserve">Difference Proposed - Current </t>
  </si>
  <si>
    <t>Rates from three different time periods are required to complete the TRP.  In the relevant cells, enter:</t>
  </si>
  <si>
    <t xml:space="preserve"> - rates at the last PCI update,</t>
  </si>
  <si>
    <t xml:space="preserve"> - current rates, </t>
  </si>
  <si>
    <t xml:space="preserve"> - proposed rates.</t>
  </si>
  <si>
    <t>Sum of Study Area 2019 Annual Recurring and Non-Recurring Revenues at Last PCI Update (from Study Area Tab)
(R)</t>
  </si>
  <si>
    <t>999901</t>
  </si>
  <si>
    <t>End User Interstate Surcharge for State or Federal Universal Service Contributions
Line 403d</t>
  </si>
  <si>
    <t>End User Interstate Local Private Line and Business Data Services 
("Special Access")
Line 406d</t>
  </si>
  <si>
    <t>End User Interstate Gross Revenues
Line 420d</t>
  </si>
  <si>
    <t>End User Total Gross Revenues 
Line 420a</t>
  </si>
  <si>
    <t>End User Interstate Surcharge Factor</t>
  </si>
  <si>
    <t>End User Total Special Access Revenues Including Interstate Surcharge</t>
  </si>
  <si>
    <t>End User Revenues from BDS Ex Ante Rate Elements / End User Total Special Access Revenues (including DSL and ETS) from 2019</t>
  </si>
  <si>
    <t>End User Total Special Access Portion of End User Interstate Gross Revenues on FCC Form 499A</t>
  </si>
  <si>
    <t xml:space="preserve">This BDS TRP is for carriers that establish PCIs, APIs, SBIs, and upper SBI limits at the study area level  and have elected BDS incentive regulation as of July 1, 2019.  </t>
  </si>
  <si>
    <t>TRS Fee Adjustment</t>
  </si>
  <si>
    <t>TRS Fee Adjustment Calculation</t>
  </si>
  <si>
    <t>Incremental TRS Fees Reported at Last PCI Update</t>
  </si>
  <si>
    <t>At Last PCI Update 
(October 1, 2019)</t>
  </si>
  <si>
    <t>At Current Rate
(June 30, 2020)</t>
  </si>
  <si>
    <t>At Proposed Rate
(July 1, 2020)</t>
  </si>
  <si>
    <t>Table 1.1.4. Price Indexes for Gross Domestic Product (updated 3/26/20)</t>
  </si>
  <si>
    <t xml:space="preserve">If a carrier has not changed any rate since the last PCI update, then rates at the last PCI update and current rates will be equal.  </t>
  </si>
  <si>
    <t xml:space="preserve">The incremental or exogenous cost adjustment for TRS calculated at the last PCI update is a required input for this TRP.  The gross-up amount reflected in that </t>
  </si>
  <si>
    <t>calculated at the last PCI update in cell M20 in the exogenous cost worksheet.  The worksheet will adjust the  proposed PCI to reflect removal of the gross up.</t>
  </si>
  <si>
    <t xml:space="preserve">Carriers shall reflect any exogenous cost adjustment for TRS (in addition to removing the the gross up) in the TRP for the annual filing if the final contribution </t>
  </si>
  <si>
    <t xml:space="preserve">factor is known by May 1.  Otherwise, they shall reflect this exogenous cost change in rates to become effective October 1.  In the latter case, the exogenous </t>
  </si>
  <si>
    <t xml:space="preserve">cost adjustment for TRS shall be “grossed up” to spread the entire adjustment over the remaining months in the tariff year.  The exogenous cost adjustments </t>
  </si>
  <si>
    <t>for NANPA and regulatory fees shall be reflected in rates that take effect October 1, reflecting that these fees are obligations covering a fiscal year that begins</t>
  </si>
  <si>
    <t>figure and thus in existing rates must be removed in this filing via an exogenous cost adjustment.  Enter the incremental TRS fees (including the gross up)</t>
  </si>
  <si>
    <t>October 1.</t>
  </si>
  <si>
    <t>Filing Date:  06/16/20</t>
  </si>
  <si>
    <t xml:space="preserve">Transmittal Number:  </t>
  </si>
  <si>
    <t>Example</t>
  </si>
  <si>
    <t>Example Voice Grade Special Access Svc</t>
  </si>
  <si>
    <t>Example WATS Special Access Svc</t>
  </si>
  <si>
    <t>Example Telegraph Special Access Svc</t>
  </si>
  <si>
    <t>Example Metallic Special Access Svc</t>
  </si>
  <si>
    <t>Example Audio and Video Services</t>
  </si>
  <si>
    <t>Example DS1 Special Access Services</t>
  </si>
  <si>
    <t>Example DS3 Special Access Services</t>
  </si>
  <si>
    <t>Example DDS Services</t>
  </si>
  <si>
    <t>Example Wideband Data and Wideband Analog Services</t>
  </si>
  <si>
    <t>Example Miscellaneous Charges</t>
  </si>
  <si>
    <t>Example Voice Grade Special Access Svcs</t>
  </si>
  <si>
    <t>Example WATS Special Access Svcs</t>
  </si>
  <si>
    <t>Example Metallic Special Access Svcs</t>
  </si>
  <si>
    <t>Example Telegraph Special Access Svcs</t>
  </si>
  <si>
    <t>Example Wideband Data and Wideband Analog Svcs</t>
  </si>
  <si>
    <t>Contribution Factors for Test Period Rates (enter new factor for TRS if new factor is available by May 1, otherwise enter current factor).</t>
  </si>
  <si>
    <t>Sum of Non-recurring Charges at Rates at Last PCI Update</t>
  </si>
  <si>
    <t>Sum of Non-recurring Charges at Current Rates</t>
  </si>
  <si>
    <t>Sum of Non-recurring Charges at Proposed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</si>
</sst>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0.0%"/>
    <numFmt numFmtId="165" formatCode="mm/dd/yy;@"/>
    <numFmt numFmtId="166" formatCode="&quot;$&quot;#,##0.00"/>
    <numFmt numFmtId="167" formatCode="#,##0.0"/>
    <numFmt numFmtId="168" formatCode="0.00000"/>
    <numFmt numFmtId="169" formatCode="0.000"/>
    <numFmt numFmtId="170" formatCode="0.0000000"/>
    <numFmt numFmtId="171" formatCode="0.0000"/>
    <numFmt numFmtId="172" formatCode="#,##0.0000"/>
    <numFmt numFmtId="173" formatCode="0.000000"/>
    <numFmt numFmtId="174" formatCode="0.000000%"/>
    <numFmt numFmtId="175" formatCode="0.0000%"/>
  </numFmts>
  <fonts count="23" x14ac:knownFonts="1">
    <font>
      <sz val="11"/>
      <color theme="1"/>
      <name val="Calibri"/>
      <family val="2"/>
      <scheme val="minor"/>
    </font>
    <font>
      <sz val="12"/>
      <name val="Arial"/>
      <family val="2"/>
    </font>
    <font>
      <sz val="10"/>
      <name val="Arial"/>
      <family val="2"/>
    </font>
    <font>
      <b/>
      <sz val="12"/>
      <name val="Arial"/>
      <family val="2"/>
    </font>
    <font>
      <b/>
      <sz val="11"/>
      <color theme="1"/>
      <name val="Calibri"/>
      <family val="2"/>
      <scheme val="minor"/>
    </font>
    <font>
      <b/>
      <sz val="10"/>
      <name val="Arial"/>
      <family val="2"/>
    </font>
    <font>
      <sz val="11"/>
      <name val="Calibri"/>
      <family val="2"/>
      <scheme val="minor"/>
    </font>
    <font>
      <b/>
      <sz val="11"/>
      <name val="Calibri"/>
      <family val="2"/>
      <scheme val="minor"/>
    </font>
    <font>
      <b/>
      <sz val="10"/>
      <color theme="1"/>
      <name val="Arial"/>
      <family val="2"/>
    </font>
    <font>
      <b/>
      <sz val="11"/>
      <color rgb="FF00B050"/>
      <name val="Calibri"/>
      <family val="2"/>
      <scheme val="minor"/>
    </font>
    <font>
      <b/>
      <sz val="11"/>
      <color rgb="FFFF0000"/>
      <name val="Calibri"/>
      <family val="2"/>
      <scheme val="minor"/>
    </font>
    <font>
      <sz val="11"/>
      <color rgb="FFFF0000"/>
      <name val="Calibri"/>
      <family val="2"/>
      <scheme val="minor"/>
    </font>
    <font>
      <b/>
      <sz val="11"/>
      <color indexed="8"/>
      <name val="Calibri"/>
      <family val="2"/>
      <scheme val="minor"/>
    </font>
    <font>
      <b/>
      <sz val="11"/>
      <color theme="0"/>
      <name val="Calibri"/>
      <family val="2"/>
      <scheme val="minor"/>
    </font>
    <font>
      <sz val="11"/>
      <color rgb="FF00B050"/>
      <name val="Calibri"/>
      <family val="2"/>
      <scheme val="minor"/>
    </font>
    <font>
      <b/>
      <sz val="14"/>
      <name val="Calibri"/>
      <family val="2"/>
      <scheme val="minor"/>
    </font>
    <font>
      <b/>
      <sz val="12"/>
      <name val="Calibri"/>
      <family val="2"/>
      <scheme val="minor"/>
    </font>
    <font>
      <sz val="11"/>
      <color indexed="8"/>
      <name val="Calibri"/>
      <family val="2"/>
      <scheme val="minor"/>
    </font>
    <font>
      <sz val="11"/>
      <color theme="1"/>
      <name val="Calibri"/>
      <family val="2"/>
      <scheme val="minor"/>
    </font>
    <font>
      <i/>
      <sz val="11"/>
      <color theme="1"/>
      <name val="Calibri"/>
      <family val="2"/>
      <scheme val="minor"/>
    </font>
    <font>
      <b/>
      <sz val="14"/>
      <color theme="0"/>
      <name val="Calibri"/>
      <family val="2"/>
      <scheme val="minor"/>
    </font>
    <font>
      <b/>
      <sz val="16"/>
      <color theme="0"/>
      <name val="Calibri"/>
      <family val="2"/>
      <scheme val="minor"/>
    </font>
    <font>
      <sz val="12"/>
      <color indexed="8"/>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6" tint="0.59996337778862885"/>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F00"/>
        <bgColor indexed="64"/>
      </patternFill>
    </fill>
  </fills>
  <borders count="4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auto="1"/>
      </right>
      <top/>
      <bottom style="thin">
        <color auto="1"/>
      </bottom>
      <diagonal/>
    </border>
  </borders>
  <cellStyleXfs count="9">
    <xf numFmtId="0" fontId="0" fillId="0" borderId="0"/>
    <xf numFmtId="9" fontId="18" fillId="0" borderId="0" applyFont="0" applyFill="0" applyBorder="0" applyAlignment="0" applyProtection="0"/>
    <xf numFmtId="0" fontId="1" fillId="0" borderId="0"/>
    <xf numFmtId="43" fontId="1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cellStyleXfs>
  <cellXfs count="295">
    <xf numFmtId="0" fontId="0" fillId="0" borderId="0" xfId="0"/>
    <xf numFmtId="0" fontId="0" fillId="0" borderId="0" xfId="0"/>
    <xf numFmtId="0" fontId="0" fillId="0" borderId="0" xfId="0" applyBorder="1"/>
    <xf numFmtId="0" fontId="4" fillId="0" borderId="1" xfId="0" applyFont="1" applyBorder="1" applyAlignment="1">
      <alignment horizontal="center" wrapText="1"/>
    </xf>
    <xf numFmtId="0" fontId="8" fillId="0" borderId="0" xfId="0" applyNumberFormat="1" applyFont="1"/>
    <xf numFmtId="0" fontId="8" fillId="0" borderId="0" xfId="0" applyFont="1"/>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9" fillId="0" borderId="0" xfId="0" applyFont="1"/>
    <xf numFmtId="0" fontId="4" fillId="0" borderId="1" xfId="0" applyFont="1" applyBorder="1"/>
    <xf numFmtId="0" fontId="4" fillId="0" borderId="4" xfId="0" applyFont="1" applyBorder="1"/>
    <xf numFmtId="0" fontId="4" fillId="0" borderId="3" xfId="0" applyFont="1" applyFill="1" applyBorder="1" applyAlignment="1">
      <alignment horizontal="center" wrapText="1"/>
    </xf>
    <xf numFmtId="0" fontId="4" fillId="0" borderId="2" xfId="0" applyFont="1" applyFill="1" applyBorder="1" applyAlignment="1">
      <alignment horizontal="center" wrapText="1"/>
    </xf>
    <xf numFmtId="0" fontId="9" fillId="0" borderId="0" xfId="0" applyFont="1" applyBorder="1"/>
    <xf numFmtId="0" fontId="7" fillId="0" borderId="1" xfId="0" applyFont="1" applyBorder="1" applyAlignment="1">
      <alignment horizontal="center" wrapText="1"/>
    </xf>
    <xf numFmtId="0" fontId="5" fillId="0" borderId="0" xfId="0" applyFont="1"/>
    <xf numFmtId="0" fontId="10" fillId="0" borderId="0" xfId="0" applyFont="1"/>
    <xf numFmtId="0" fontId="1" fillId="0" borderId="0" xfId="8" applyFill="1"/>
    <xf numFmtId="0" fontId="3" fillId="0" borderId="0" xfId="0" applyFont="1" applyAlignment="1">
      <alignment horizontal="center"/>
    </xf>
    <xf numFmtId="0" fontId="4" fillId="0" borderId="0" xfId="0" applyFont="1" applyAlignment="1">
      <alignment horizontal="right" indent="1"/>
    </xf>
    <xf numFmtId="0" fontId="4" fillId="0" borderId="0" xfId="0" applyFont="1"/>
    <xf numFmtId="0" fontId="9" fillId="0" borderId="0" xfId="0" applyFont="1" applyAlignment="1">
      <alignment horizontal="center"/>
    </xf>
    <xf numFmtId="0" fontId="0" fillId="0" borderId="7" xfId="0" applyBorder="1"/>
    <xf numFmtId="0" fontId="0" fillId="0" borderId="9" xfId="0" applyBorder="1"/>
    <xf numFmtId="166" fontId="6" fillId="0" borderId="0" xfId="0" applyNumberFormat="1" applyFont="1" applyFill="1" applyAlignment="1">
      <alignment horizontal="right"/>
    </xf>
    <xf numFmtId="0" fontId="6" fillId="0" borderId="0" xfId="0" applyFont="1" applyAlignment="1">
      <alignment wrapText="1"/>
    </xf>
    <xf numFmtId="3" fontId="6" fillId="0" borderId="0" xfId="0" applyNumberFormat="1" applyFont="1" applyFill="1"/>
    <xf numFmtId="1" fontId="6" fillId="0" borderId="0" xfId="0" applyNumberFormat="1" applyFont="1" applyFill="1"/>
    <xf numFmtId="0" fontId="6" fillId="0" borderId="0" xfId="0" applyFont="1"/>
    <xf numFmtId="168" fontId="12" fillId="0" borderId="0" xfId="1" applyNumberFormat="1" applyFont="1" applyFill="1" applyBorder="1" applyAlignment="1">
      <alignment horizontal="left"/>
    </xf>
    <xf numFmtId="0" fontId="7" fillId="0" borderId="0" xfId="0" applyFont="1"/>
    <xf numFmtId="0" fontId="11" fillId="0" borderId="0" xfId="0" applyFont="1"/>
    <xf numFmtId="0" fontId="0" fillId="0" borderId="0" xfId="0" applyFont="1"/>
    <xf numFmtId="0" fontId="5" fillId="0" borderId="10" xfId="0" applyFont="1" applyBorder="1"/>
    <xf numFmtId="0" fontId="6" fillId="0" borderId="0" xfId="0" quotePrefix="1" applyFont="1" applyBorder="1"/>
    <xf numFmtId="171" fontId="6" fillId="0" borderId="0" xfId="0" applyNumberFormat="1" applyFont="1" applyFill="1" applyAlignment="1">
      <alignment horizontal="right"/>
    </xf>
    <xf numFmtId="171" fontId="0" fillId="0" borderId="1" xfId="1" applyNumberFormat="1" applyFont="1" applyBorder="1" applyAlignment="1">
      <alignment horizontal="right" indent="1"/>
    </xf>
    <xf numFmtId="0" fontId="4" fillId="0" borderId="15" xfId="0" applyFont="1" applyBorder="1" applyAlignment="1">
      <alignment horizontal="center"/>
    </xf>
    <xf numFmtId="0" fontId="7" fillId="0" borderId="4" xfId="0" applyFont="1" applyBorder="1" applyAlignment="1">
      <alignment horizontal="center" wrapText="1"/>
    </xf>
    <xf numFmtId="0" fontId="7" fillId="0" borderId="5" xfId="0" applyFont="1" applyBorder="1" applyAlignment="1">
      <alignment horizontal="center" wrapText="1"/>
    </xf>
    <xf numFmtId="0" fontId="4" fillId="0" borderId="1" xfId="0" quotePrefix="1" applyFont="1" applyBorder="1" applyAlignment="1">
      <alignment horizontal="center" wrapText="1"/>
    </xf>
    <xf numFmtId="0" fontId="4" fillId="0" borderId="1" xfId="0" applyFont="1" applyFill="1" applyBorder="1" applyAlignment="1">
      <alignment horizontal="center" wrapText="1"/>
    </xf>
    <xf numFmtId="0" fontId="10" fillId="0" borderId="0" xfId="8" applyFont="1" applyFill="1" applyBorder="1" applyAlignment="1">
      <alignment horizontal="center"/>
    </xf>
    <xf numFmtId="0" fontId="6" fillId="0" borderId="0" xfId="0" applyFont="1" applyBorder="1" applyAlignment="1">
      <alignment wrapText="1"/>
    </xf>
    <xf numFmtId="0" fontId="6" fillId="0" borderId="0" xfId="0" applyFont="1" applyBorder="1"/>
    <xf numFmtId="0" fontId="7" fillId="0" borderId="0" xfId="0" applyFont="1" applyBorder="1" applyAlignment="1">
      <alignment wrapText="1"/>
    </xf>
    <xf numFmtId="0" fontId="14" fillId="0" borderId="0" xfId="0" applyFont="1" applyAlignment="1">
      <alignment horizontal="center"/>
    </xf>
    <xf numFmtId="0" fontId="14" fillId="0" borderId="0" xfId="0" applyFont="1" applyFill="1" applyBorder="1" applyAlignment="1">
      <alignment horizontal="center"/>
    </xf>
    <xf numFmtId="0" fontId="4" fillId="0" borderId="4" xfId="0" quotePrefix="1" applyFont="1" applyBorder="1" applyAlignment="1">
      <alignment horizontal="center" wrapText="1"/>
    </xf>
    <xf numFmtId="171" fontId="4" fillId="0" borderId="0" xfId="1" applyNumberFormat="1" applyFont="1" applyFill="1" applyBorder="1" applyAlignment="1">
      <alignment horizontal="right" indent="1"/>
    </xf>
    <xf numFmtId="171" fontId="7" fillId="0" borderId="0" xfId="1" applyNumberFormat="1" applyFont="1" applyFill="1" applyBorder="1" applyAlignment="1">
      <alignment horizontal="right" indent="1"/>
    </xf>
    <xf numFmtId="0" fontId="4" fillId="0" borderId="0" xfId="0" applyNumberFormat="1" applyFont="1" applyFill="1" applyBorder="1" applyAlignment="1">
      <alignment horizontal="center"/>
    </xf>
    <xf numFmtId="166" fontId="4" fillId="0" borderId="0" xfId="0" applyNumberFormat="1" applyFont="1" applyFill="1" applyBorder="1" applyAlignment="1">
      <alignment horizontal="right" indent="1"/>
    </xf>
    <xf numFmtId="0" fontId="15" fillId="0" borderId="0" xfId="0" applyFont="1" applyFill="1" applyBorder="1" applyAlignment="1">
      <alignment vertical="center"/>
    </xf>
    <xf numFmtId="167" fontId="13" fillId="0" borderId="0" xfId="0" applyNumberFormat="1" applyFont="1" applyFill="1" applyBorder="1"/>
    <xf numFmtId="0" fontId="6" fillId="0" borderId="0" xfId="0" applyFont="1" applyFill="1" applyBorder="1"/>
    <xf numFmtId="0" fontId="6" fillId="0" borderId="0" xfId="0" applyFont="1" applyFill="1"/>
    <xf numFmtId="0" fontId="4" fillId="0" borderId="0" xfId="0" applyFont="1" applyBorder="1"/>
    <xf numFmtId="166" fontId="6" fillId="0" borderId="0" xfId="0" applyNumberFormat="1" applyFont="1" applyFill="1" applyBorder="1" applyAlignment="1">
      <alignment horizontal="right"/>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Border="1"/>
    <xf numFmtId="0" fontId="6" fillId="0" borderId="0" xfId="0" applyFont="1" applyBorder="1" applyAlignment="1">
      <alignment horizontal="center" wrapText="1"/>
    </xf>
    <xf numFmtId="166" fontId="6" fillId="0" borderId="0" xfId="0" applyNumberFormat="1" applyFont="1" applyFill="1" applyBorder="1" applyAlignment="1">
      <alignment horizontal="center"/>
    </xf>
    <xf numFmtId="0" fontId="7" fillId="0" borderId="0" xfId="0" applyFont="1" applyBorder="1" applyAlignment="1"/>
    <xf numFmtId="166" fontId="7" fillId="0" borderId="1" xfId="0" applyNumberFormat="1" applyFont="1" applyFill="1" applyBorder="1" applyAlignment="1">
      <alignment horizontal="center" wrapText="1"/>
    </xf>
    <xf numFmtId="165" fontId="12" fillId="0" borderId="1" xfId="0" applyNumberFormat="1" applyFont="1" applyFill="1" applyBorder="1" applyAlignment="1">
      <alignment horizontal="center" wrapText="1"/>
    </xf>
    <xf numFmtId="166" fontId="12" fillId="0" borderId="1" xfId="0" applyNumberFormat="1" applyFont="1" applyFill="1" applyBorder="1" applyAlignment="1">
      <alignment horizontal="center" wrapText="1"/>
    </xf>
    <xf numFmtId="3" fontId="7" fillId="0" borderId="1" xfId="0" applyNumberFormat="1" applyFont="1" applyFill="1" applyBorder="1" applyAlignment="1">
      <alignment horizontal="center" wrapText="1"/>
    </xf>
    <xf numFmtId="3" fontId="12" fillId="0" borderId="1" xfId="0" applyNumberFormat="1" applyFont="1" applyFill="1" applyBorder="1" applyAlignment="1">
      <alignment horizontal="center" wrapText="1"/>
    </xf>
    <xf numFmtId="166" fontId="12" fillId="0" borderId="1" xfId="0" quotePrefix="1" applyNumberFormat="1" applyFont="1" applyFill="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wrapText="1"/>
    </xf>
    <xf numFmtId="168"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wrapText="1"/>
    </xf>
    <xf numFmtId="3" fontId="17" fillId="0" borderId="1" xfId="0" applyNumberFormat="1" applyFont="1" applyFill="1" applyBorder="1" applyAlignment="1">
      <alignment horizontal="right" wrapText="1"/>
    </xf>
    <xf numFmtId="0" fontId="6" fillId="0" borderId="1" xfId="0" applyFont="1" applyBorder="1" applyAlignment="1">
      <alignment horizontal="center" wrapText="1"/>
    </xf>
    <xf numFmtId="166" fontId="17" fillId="0" borderId="1" xfId="0" applyNumberFormat="1" applyFont="1" applyFill="1" applyBorder="1" applyAlignment="1">
      <alignment horizontal="right" wrapText="1"/>
    </xf>
    <xf numFmtId="164" fontId="17" fillId="0" borderId="1" xfId="1" applyNumberFormat="1" applyFont="1" applyFill="1" applyBorder="1" applyAlignment="1">
      <alignment horizontal="right" wrapText="1"/>
    </xf>
    <xf numFmtId="166" fontId="6" fillId="0" borderId="1" xfId="0" applyNumberFormat="1" applyFont="1" applyFill="1" applyBorder="1" applyAlignment="1">
      <alignment horizontal="right" wrapText="1"/>
    </xf>
    <xf numFmtId="0" fontId="7" fillId="0" borderId="0" xfId="0" applyFont="1" applyFill="1" applyBorder="1" applyAlignment="1">
      <alignment horizontal="left" vertical="top"/>
    </xf>
    <xf numFmtId="0" fontId="7" fillId="0" borderId="0" xfId="0" applyFont="1" applyFill="1" applyBorder="1" applyAlignment="1">
      <alignment wrapText="1"/>
    </xf>
    <xf numFmtId="0" fontId="6" fillId="0" borderId="0" xfId="0" applyFont="1" applyFill="1" applyBorder="1" applyAlignment="1">
      <alignment horizontal="center" wrapText="1"/>
    </xf>
    <xf numFmtId="166" fontId="17" fillId="0" borderId="0" xfId="0" applyNumberFormat="1" applyFont="1" applyFill="1" applyBorder="1" applyAlignment="1">
      <alignment horizontal="right"/>
    </xf>
    <xf numFmtId="10" fontId="17" fillId="0" borderId="0" xfId="0" applyNumberFormat="1" applyFont="1" applyFill="1" applyBorder="1" applyAlignment="1">
      <alignment horizontal="right"/>
    </xf>
    <xf numFmtId="3" fontId="6" fillId="0" borderId="0" xfId="0" applyNumberFormat="1" applyFont="1" applyFill="1" applyBorder="1" applyProtection="1">
      <protection locked="0"/>
    </xf>
    <xf numFmtId="1" fontId="6" fillId="0" borderId="0" xfId="0" applyNumberFormat="1" applyFont="1" applyFill="1" applyBorder="1"/>
    <xf numFmtId="0" fontId="6" fillId="0" borderId="0" xfId="0" applyFont="1" applyAlignment="1">
      <alignment horizontal="left" vertical="top"/>
    </xf>
    <xf numFmtId="166" fontId="6" fillId="0" borderId="0" xfId="0" applyNumberFormat="1" applyFont="1" applyFill="1" applyAlignment="1">
      <alignment horizontal="center"/>
    </xf>
    <xf numFmtId="0" fontId="7" fillId="0" borderId="1" xfId="0" applyFont="1" applyBorder="1" applyAlignment="1">
      <alignment horizontal="left" vertical="top" wrapText="1"/>
    </xf>
    <xf numFmtId="0" fontId="12" fillId="0" borderId="1" xfId="0" applyNumberFormat="1" applyFont="1" applyBorder="1" applyAlignment="1">
      <alignment wrapText="1"/>
    </xf>
    <xf numFmtId="165" fontId="7" fillId="0" borderId="1" xfId="0" applyNumberFormat="1" applyFont="1" applyFill="1" applyBorder="1" applyAlignment="1">
      <alignment horizontal="center" wrapText="1"/>
    </xf>
    <xf numFmtId="0" fontId="7" fillId="0" borderId="1" xfId="0" applyNumberFormat="1" applyFont="1" applyBorder="1" applyAlignment="1">
      <alignment horizontal="center" wrapText="1"/>
    </xf>
    <xf numFmtId="1" fontId="7" fillId="0" borderId="1" xfId="0" applyNumberFormat="1" applyFont="1" applyFill="1" applyBorder="1" applyAlignment="1">
      <alignment horizontal="center" wrapText="1"/>
    </xf>
    <xf numFmtId="9" fontId="7" fillId="0" borderId="1" xfId="0" applyNumberFormat="1" applyFont="1" applyFill="1" applyBorder="1" applyAlignment="1">
      <alignment horizontal="center" wrapText="1"/>
    </xf>
    <xf numFmtId="164" fontId="6" fillId="0" borderId="1" xfId="1" applyNumberFormat="1" applyFont="1" applyFill="1" applyBorder="1" applyAlignment="1">
      <alignment horizontal="right"/>
    </xf>
    <xf numFmtId="166" fontId="6" fillId="0" borderId="1" xfId="0" applyNumberFormat="1" applyFont="1" applyFill="1" applyBorder="1"/>
    <xf numFmtId="0" fontId="4" fillId="0" borderId="4" xfId="0" applyFont="1" applyBorder="1" applyAlignment="1">
      <alignment horizontal="center"/>
    </xf>
    <xf numFmtId="0" fontId="4" fillId="0" borderId="1" xfId="0" applyFont="1" applyBorder="1" applyAlignment="1">
      <alignment horizontal="center"/>
    </xf>
    <xf numFmtId="0" fontId="7" fillId="0" borderId="2" xfId="0" applyFont="1" applyBorder="1" applyAlignment="1">
      <alignment horizontal="center" wrapText="1"/>
    </xf>
    <xf numFmtId="0" fontId="7" fillId="0" borderId="3" xfId="0" applyFont="1" applyBorder="1" applyAlignment="1">
      <alignment horizontal="center" wrapText="1"/>
    </xf>
    <xf numFmtId="0" fontId="4" fillId="0" borderId="0" xfId="0" applyFont="1" applyFill="1" applyBorder="1"/>
    <xf numFmtId="0" fontId="10" fillId="0" borderId="0" xfId="0" applyFont="1" applyBorder="1"/>
    <xf numFmtId="166" fontId="0" fillId="0" borderId="4" xfId="0" applyNumberFormat="1" applyFont="1" applyBorder="1" applyAlignment="1">
      <alignment horizontal="right" indent="1"/>
    </xf>
    <xf numFmtId="166" fontId="0" fillId="0" borderId="5" xfId="0" applyNumberFormat="1" applyFont="1" applyBorder="1" applyAlignment="1">
      <alignment horizontal="right" indent="1"/>
    </xf>
    <xf numFmtId="166" fontId="4" fillId="2" borderId="13" xfId="0" applyNumberFormat="1" applyFont="1" applyFill="1" applyBorder="1" applyAlignment="1">
      <alignment horizontal="right" indent="1"/>
    </xf>
    <xf numFmtId="166" fontId="4" fillId="2" borderId="20" xfId="0" applyNumberFormat="1" applyFont="1" applyFill="1" applyBorder="1" applyAlignment="1">
      <alignment horizontal="right" indent="1"/>
    </xf>
    <xf numFmtId="169" fontId="0" fillId="0" borderId="0" xfId="0" quotePrefix="1" applyNumberFormat="1"/>
    <xf numFmtId="174" fontId="0" fillId="0" borderId="0" xfId="1" applyNumberFormat="1" applyFont="1"/>
    <xf numFmtId="0" fontId="0" fillId="0" borderId="0" xfId="0" applyBorder="1" applyAlignment="1"/>
    <xf numFmtId="0" fontId="7" fillId="0" borderId="1" xfId="8" applyFont="1" applyFill="1" applyBorder="1" applyAlignment="1">
      <alignment horizontal="center" wrapText="1"/>
    </xf>
    <xf numFmtId="0" fontId="5" fillId="0" borderId="4" xfId="0" applyFont="1" applyBorder="1" applyAlignment="1">
      <alignment horizontal="center" wrapText="1"/>
    </xf>
    <xf numFmtId="0" fontId="7" fillId="0" borderId="5" xfId="8" applyFont="1" applyFill="1" applyBorder="1" applyAlignment="1">
      <alignment horizontal="center" wrapText="1"/>
    </xf>
    <xf numFmtId="0" fontId="7" fillId="0" borderId="4" xfId="8" applyFont="1" applyFill="1" applyBorder="1"/>
    <xf numFmtId="0" fontId="7" fillId="0" borderId="13" xfId="8" applyFont="1" applyFill="1" applyBorder="1"/>
    <xf numFmtId="0" fontId="1" fillId="0" borderId="21" xfId="8" applyFill="1" applyBorder="1"/>
    <xf numFmtId="0" fontId="4" fillId="0" borderId="16" xfId="0" applyFont="1" applyBorder="1" applyAlignment="1">
      <alignment horizontal="center" wrapText="1"/>
    </xf>
    <xf numFmtId="0" fontId="7" fillId="0" borderId="0" xfId="8" applyFont="1" applyFill="1" applyBorder="1" applyAlignment="1">
      <alignment vertical="top" wrapText="1"/>
    </xf>
    <xf numFmtId="168" fontId="6" fillId="0" borderId="0" xfId="1" applyNumberFormat="1" applyFont="1" applyFill="1" applyBorder="1" applyAlignment="1">
      <alignment horizontal="left"/>
    </xf>
    <xf numFmtId="167" fontId="6" fillId="0" borderId="0" xfId="0" applyNumberFormat="1" applyFont="1" applyFill="1" applyBorder="1"/>
    <xf numFmtId="0" fontId="0" fillId="0" borderId="0" xfId="0" applyFill="1"/>
    <xf numFmtId="0" fontId="4" fillId="0" borderId="6" xfId="0" applyFont="1" applyFill="1" applyBorder="1" applyAlignment="1">
      <alignment horizontal="center" wrapText="1"/>
    </xf>
    <xf numFmtId="0" fontId="7" fillId="0" borderId="1" xfId="0" applyFont="1" applyFill="1" applyBorder="1" applyAlignment="1">
      <alignment horizontal="center"/>
    </xf>
    <xf numFmtId="0" fontId="7" fillId="0" borderId="5" xfId="0" applyFont="1" applyFill="1" applyBorder="1" applyAlignment="1">
      <alignment horizontal="center"/>
    </xf>
    <xf numFmtId="0" fontId="7" fillId="0" borderId="1" xfId="0" quotePrefix="1" applyFont="1" applyFill="1" applyBorder="1" applyAlignment="1">
      <alignment horizontal="center" wrapText="1"/>
    </xf>
    <xf numFmtId="171" fontId="0" fillId="0" borderId="1" xfId="1" applyNumberFormat="1" applyFont="1" applyFill="1" applyBorder="1" applyAlignment="1">
      <alignment horizontal="right" indent="1"/>
    </xf>
    <xf numFmtId="171" fontId="4" fillId="3" borderId="14" xfId="1" applyNumberFormat="1" applyFont="1" applyFill="1" applyBorder="1" applyAlignment="1">
      <alignment horizontal="right" indent="1"/>
    </xf>
    <xf numFmtId="0" fontId="0" fillId="0" borderId="0" xfId="0"/>
    <xf numFmtId="0" fontId="0" fillId="0" borderId="0" xfId="0"/>
    <xf numFmtId="0" fontId="4" fillId="0" borderId="32" xfId="0" applyFont="1" applyBorder="1" applyAlignment="1">
      <alignment horizontal="center" wrapText="1"/>
    </xf>
    <xf numFmtId="0" fontId="4" fillId="0" borderId="33" xfId="0" applyFont="1" applyBorder="1" applyAlignment="1">
      <alignment horizontal="center"/>
    </xf>
    <xf numFmtId="0" fontId="4" fillId="0" borderId="33" xfId="0" applyFont="1" applyBorder="1" applyAlignment="1">
      <alignment horizontal="center" wrapText="1"/>
    </xf>
    <xf numFmtId="173" fontId="0" fillId="0" borderId="13" xfId="0" applyNumberFormat="1" applyFont="1" applyFill="1" applyBorder="1" applyAlignment="1">
      <alignment horizontal="right" wrapText="1"/>
    </xf>
    <xf numFmtId="166" fontId="0" fillId="0" borderId="14" xfId="0" applyNumberFormat="1" applyFont="1" applyFill="1" applyBorder="1" applyAlignment="1">
      <alignment horizontal="right" wrapText="1"/>
    </xf>
    <xf numFmtId="0" fontId="0" fillId="0" borderId="13" xfId="0" applyNumberFormat="1" applyFont="1" applyBorder="1" applyAlignment="1">
      <alignment horizontal="left"/>
    </xf>
    <xf numFmtId="0" fontId="0" fillId="0" borderId="14" xfId="0" applyNumberFormat="1" applyFont="1" applyBorder="1" applyAlignment="1">
      <alignment horizontal="left"/>
    </xf>
    <xf numFmtId="0" fontId="0" fillId="0" borderId="34" xfId="0" applyNumberFormat="1" applyFont="1" applyBorder="1" applyAlignment="1">
      <alignment horizontal="left"/>
    </xf>
    <xf numFmtId="166" fontId="0" fillId="0" borderId="13" xfId="0" applyNumberFormat="1" applyFont="1" applyBorder="1" applyAlignment="1">
      <alignment horizontal="right"/>
    </xf>
    <xf numFmtId="166" fontId="0" fillId="0" borderId="14" xfId="0" applyNumberFormat="1" applyFont="1" applyBorder="1" applyAlignment="1">
      <alignment horizontal="right"/>
    </xf>
    <xf numFmtId="166" fontId="0" fillId="0" borderId="34" xfId="0" applyNumberFormat="1" applyFont="1" applyBorder="1" applyAlignment="1">
      <alignment horizontal="right"/>
    </xf>
    <xf numFmtId="0" fontId="4" fillId="0" borderId="32" xfId="0" applyFont="1" applyFill="1" applyBorder="1" applyAlignment="1">
      <alignment horizontal="center" wrapText="1"/>
    </xf>
    <xf numFmtId="166" fontId="0" fillId="0" borderId="13" xfId="0" applyNumberFormat="1" applyFont="1" applyFill="1" applyBorder="1" applyAlignment="1">
      <alignment horizontal="right" wrapText="1"/>
    </xf>
    <xf numFmtId="0" fontId="7" fillId="0" borderId="33" xfId="0" applyFont="1" applyBorder="1" applyAlignment="1">
      <alignment horizontal="center" wrapText="1"/>
    </xf>
    <xf numFmtId="0" fontId="0" fillId="0" borderId="13" xfId="0" applyFont="1" applyBorder="1" applyAlignment="1">
      <alignment horizontal="left"/>
    </xf>
    <xf numFmtId="0" fontId="0" fillId="0" borderId="14" xfId="0" applyFont="1" applyBorder="1" applyAlignment="1">
      <alignment horizontal="left"/>
    </xf>
    <xf numFmtId="2" fontId="0" fillId="0" borderId="14" xfId="0" applyNumberFormat="1" applyFont="1" applyBorder="1" applyAlignment="1">
      <alignment horizontal="right" wrapText="1"/>
    </xf>
    <xf numFmtId="0" fontId="6" fillId="5" borderId="1" xfId="0" applyFont="1" applyFill="1" applyBorder="1" applyAlignment="1">
      <alignment horizontal="left" wrapText="1"/>
    </xf>
    <xf numFmtId="0" fontId="7" fillId="5" borderId="1" xfId="0" applyFont="1" applyFill="1" applyBorder="1" applyAlignment="1">
      <alignment horizontal="center" wrapText="1"/>
    </xf>
    <xf numFmtId="0" fontId="6" fillId="5" borderId="1" xfId="0" applyFont="1" applyFill="1" applyBorder="1" applyAlignment="1">
      <alignment wrapText="1"/>
    </xf>
    <xf numFmtId="3" fontId="17" fillId="5" borderId="1" xfId="0" applyNumberFormat="1" applyFont="1" applyFill="1" applyBorder="1" applyAlignment="1">
      <alignment horizontal="right" wrapText="1"/>
    </xf>
    <xf numFmtId="166" fontId="6" fillId="5" borderId="1" xfId="0" applyNumberFormat="1" applyFont="1" applyFill="1" applyBorder="1" applyAlignment="1">
      <alignment horizontal="center" wrapText="1"/>
    </xf>
    <xf numFmtId="0" fontId="6" fillId="0" borderId="1" xfId="0" applyNumberFormat="1" applyFont="1" applyBorder="1" applyAlignment="1">
      <alignment horizontal="left" wrapText="1"/>
    </xf>
    <xf numFmtId="0" fontId="6" fillId="0" borderId="1" xfId="0" applyNumberFormat="1" applyFont="1" applyBorder="1" applyAlignment="1">
      <alignment horizontal="center" wrapText="1"/>
    </xf>
    <xf numFmtId="166" fontId="6" fillId="0" borderId="1" xfId="0" applyNumberFormat="1" applyFont="1" applyBorder="1" applyAlignment="1">
      <alignment horizontal="right" wrapText="1"/>
    </xf>
    <xf numFmtId="4" fontId="6" fillId="0" borderId="1" xfId="0" applyNumberFormat="1" applyFont="1" applyBorder="1" applyAlignment="1">
      <alignment horizontal="right" wrapText="1"/>
    </xf>
    <xf numFmtId="2" fontId="17" fillId="0" borderId="1" xfId="0" applyNumberFormat="1" applyFont="1" applyFill="1" applyBorder="1" applyAlignment="1">
      <alignment horizontal="right" wrapText="1"/>
    </xf>
    <xf numFmtId="0" fontId="0" fillId="0" borderId="0" xfId="0" quotePrefix="1" applyNumberFormat="1" applyFont="1" applyBorder="1"/>
    <xf numFmtId="0" fontId="6" fillId="0" borderId="0" xfId="0" quotePrefix="1" applyFont="1" applyFill="1"/>
    <xf numFmtId="0" fontId="17" fillId="0" borderId="0" xfId="0" applyNumberFormat="1" applyFont="1" applyFill="1" applyAlignment="1">
      <alignment vertical="center"/>
    </xf>
    <xf numFmtId="0" fontId="17" fillId="0" borderId="0" xfId="0" applyNumberFormat="1" applyFont="1" applyFill="1" applyAlignment="1">
      <alignment vertical="center" wrapText="1"/>
    </xf>
    <xf numFmtId="0" fontId="6" fillId="0" borderId="0" xfId="0" applyNumberFormat="1" applyFont="1" applyFill="1" applyAlignment="1">
      <alignment vertical="center"/>
    </xf>
    <xf numFmtId="0" fontId="0" fillId="0" borderId="0" xfId="0" applyFont="1" applyFill="1" applyAlignment="1">
      <alignment vertical="center"/>
    </xf>
    <xf numFmtId="0" fontId="19" fillId="0" borderId="0" xfId="0" applyFont="1"/>
    <xf numFmtId="0" fontId="0" fillId="0" borderId="0" xfId="0" applyFont="1" applyFill="1"/>
    <xf numFmtId="0" fontId="6" fillId="0" borderId="0" xfId="8" applyFont="1" applyFill="1"/>
    <xf numFmtId="49" fontId="7" fillId="0" borderId="0" xfId="0" applyNumberFormat="1" applyFont="1" applyFill="1" applyBorder="1" applyAlignment="1">
      <alignment horizontal="left" wrapText="1"/>
    </xf>
    <xf numFmtId="0" fontId="7" fillId="0" borderId="0" xfId="0" applyFont="1" applyFill="1" applyBorder="1" applyAlignment="1">
      <alignment horizontal="left" wrapText="1"/>
    </xf>
    <xf numFmtId="0" fontId="5" fillId="0" borderId="0" xfId="0" applyFont="1" applyFill="1"/>
    <xf numFmtId="166" fontId="16" fillId="0" borderId="0" xfId="0" applyNumberFormat="1" applyFont="1" applyFill="1" applyBorder="1" applyAlignment="1"/>
    <xf numFmtId="0" fontId="7" fillId="0" borderId="33" xfId="0" applyFont="1" applyFill="1" applyBorder="1" applyAlignment="1">
      <alignment horizontal="center"/>
    </xf>
    <xf numFmtId="0" fontId="4" fillId="0" borderId="33" xfId="0" applyFont="1" applyFill="1" applyBorder="1" applyAlignment="1">
      <alignment horizontal="center" wrapText="1"/>
    </xf>
    <xf numFmtId="0" fontId="0" fillId="0" borderId="33" xfId="0" applyNumberFormat="1" applyFont="1" applyFill="1" applyBorder="1" applyAlignment="1">
      <alignment horizontal="center"/>
    </xf>
    <xf numFmtId="166" fontId="0" fillId="0" borderId="19" xfId="0" applyNumberFormat="1" applyFont="1" applyBorder="1" applyAlignment="1">
      <alignment horizontal="right" indent="1"/>
    </xf>
    <xf numFmtId="166" fontId="4" fillId="2" borderId="18" xfId="0" applyNumberFormat="1" applyFont="1" applyFill="1" applyBorder="1" applyAlignment="1">
      <alignment horizontal="right" indent="1"/>
    </xf>
    <xf numFmtId="166" fontId="0" fillId="0" borderId="1" xfId="0" applyNumberFormat="1" applyFont="1" applyBorder="1" applyAlignment="1">
      <alignment horizontal="right" indent="1"/>
    </xf>
    <xf numFmtId="0" fontId="7" fillId="0" borderId="0" xfId="0" quotePrefix="1" applyFont="1" applyFill="1" applyBorder="1" applyAlignment="1">
      <alignment horizontal="center" wrapText="1"/>
    </xf>
    <xf numFmtId="0" fontId="7" fillId="0" borderId="19" xfId="0" applyFont="1" applyFill="1" applyBorder="1" applyAlignment="1">
      <alignment horizontal="center"/>
    </xf>
    <xf numFmtId="0" fontId="7" fillId="0" borderId="4" xfId="0" applyFont="1" applyFill="1" applyBorder="1" applyAlignment="1">
      <alignment horizontal="center"/>
    </xf>
    <xf numFmtId="0" fontId="4" fillId="0" borderId="38" xfId="0" applyFont="1" applyBorder="1" applyAlignment="1">
      <alignment horizontal="center" wrapText="1"/>
    </xf>
    <xf numFmtId="0" fontId="7" fillId="0" borderId="38" xfId="0" applyFont="1" applyBorder="1" applyAlignment="1">
      <alignment horizontal="center"/>
    </xf>
    <xf numFmtId="0" fontId="7" fillId="0" borderId="39" xfId="0" applyFont="1" applyBorder="1" applyAlignment="1">
      <alignment horizontal="center"/>
    </xf>
    <xf numFmtId="0" fontId="7" fillId="0" borderId="3" xfId="0" applyFont="1" applyFill="1" applyBorder="1" applyAlignment="1">
      <alignment horizontal="center" wrapText="1"/>
    </xf>
    <xf numFmtId="0" fontId="0" fillId="0" borderId="4" xfId="0" applyFont="1" applyBorder="1"/>
    <xf numFmtId="0" fontId="0" fillId="0" borderId="4" xfId="0" applyFont="1" applyBorder="1" applyAlignment="1">
      <alignment wrapText="1"/>
    </xf>
    <xf numFmtId="0" fontId="4" fillId="3" borderId="13" xfId="0" applyFont="1" applyFill="1" applyBorder="1"/>
    <xf numFmtId="168" fontId="7" fillId="0" borderId="1" xfId="8" applyNumberFormat="1" applyFont="1" applyFill="1" applyBorder="1" applyAlignment="1">
      <alignment vertical="top"/>
    </xf>
    <xf numFmtId="0" fontId="7" fillId="0" borderId="5" xfId="8" applyFont="1" applyFill="1" applyBorder="1"/>
    <xf numFmtId="170" fontId="7" fillId="0" borderId="14" xfId="8" applyNumberFormat="1" applyFont="1" applyFill="1" applyBorder="1"/>
    <xf numFmtId="0" fontId="7" fillId="0" borderId="20" xfId="8" applyFont="1" applyFill="1" applyBorder="1"/>
    <xf numFmtId="166" fontId="4" fillId="2" borderId="14" xfId="0" applyNumberFormat="1" applyFont="1" applyFill="1" applyBorder="1" applyAlignment="1">
      <alignment horizontal="right" indent="1"/>
    </xf>
    <xf numFmtId="0" fontId="4" fillId="0" borderId="4" xfId="0" applyFont="1" applyFill="1" applyBorder="1" applyAlignment="1">
      <alignment horizontal="center" wrapText="1"/>
    </xf>
    <xf numFmtId="0" fontId="10" fillId="0" borderId="0" xfId="0" quotePrefix="1" applyFont="1" applyFill="1"/>
    <xf numFmtId="0" fontId="13" fillId="0" borderId="0" xfId="0" quotePrefix="1" applyFont="1" applyFill="1"/>
    <xf numFmtId="0" fontId="17" fillId="0" borderId="0" xfId="0" quotePrefix="1" applyNumberFormat="1" applyFont="1" applyFill="1" applyAlignment="1">
      <alignment vertical="center" wrapText="1"/>
    </xf>
    <xf numFmtId="0" fontId="4" fillId="6" borderId="34" xfId="0" applyNumberFormat="1" applyFont="1" applyFill="1" applyBorder="1" applyAlignment="1">
      <alignment horizontal="center"/>
    </xf>
    <xf numFmtId="0" fontId="4" fillId="0" borderId="5" xfId="0" quotePrefix="1" applyFont="1" applyBorder="1" applyAlignment="1">
      <alignment horizontal="center" wrapText="1"/>
    </xf>
    <xf numFmtId="166" fontId="0" fillId="0" borderId="20" xfId="0" applyNumberFormat="1" applyFont="1" applyFill="1" applyBorder="1" applyAlignment="1">
      <alignment horizontal="right" wrapText="1"/>
    </xf>
    <xf numFmtId="0" fontId="0" fillId="0" borderId="14" xfId="0" quotePrefix="1" applyBorder="1"/>
    <xf numFmtId="0" fontId="4" fillId="0" borderId="33" xfId="0" applyFont="1" applyBorder="1"/>
    <xf numFmtId="0" fontId="0" fillId="0" borderId="34" xfId="0" applyFont="1" applyBorder="1" applyAlignment="1">
      <alignment horizontal="left"/>
    </xf>
    <xf numFmtId="166" fontId="0" fillId="0" borderId="14" xfId="0" applyNumberFormat="1" applyFont="1" applyFill="1" applyBorder="1" applyAlignment="1">
      <alignment horizontal="right"/>
    </xf>
    <xf numFmtId="0" fontId="4" fillId="0" borderId="33" xfId="0" quotePrefix="1" applyFont="1" applyBorder="1" applyAlignment="1">
      <alignment horizontal="center" wrapText="1"/>
    </xf>
    <xf numFmtId="0" fontId="4" fillId="0" borderId="4" xfId="0" quotePrefix="1" applyFont="1" applyFill="1" applyBorder="1" applyAlignment="1">
      <alignment horizontal="center" wrapText="1"/>
    </xf>
    <xf numFmtId="173" fontId="0" fillId="0" borderId="13" xfId="0" quotePrefix="1" applyNumberFormat="1" applyFont="1" applyBorder="1" applyAlignment="1">
      <alignment horizontal="right" wrapText="1"/>
    </xf>
    <xf numFmtId="0" fontId="0" fillId="0" borderId="14" xfId="0" quotePrefix="1" applyFont="1" applyBorder="1"/>
    <xf numFmtId="173" fontId="0" fillId="0" borderId="34" xfId="0" applyNumberFormat="1" applyFont="1" applyFill="1" applyBorder="1" applyAlignment="1">
      <alignment horizontal="right" wrapText="1"/>
    </xf>
    <xf numFmtId="172" fontId="0" fillId="0" borderId="39" xfId="0" applyNumberFormat="1" applyFont="1" applyBorder="1" applyAlignment="1">
      <alignment horizontal="right"/>
    </xf>
    <xf numFmtId="0" fontId="4" fillId="0" borderId="40" xfId="0" applyFont="1" applyFill="1" applyBorder="1" applyAlignment="1">
      <alignment horizontal="center" wrapText="1"/>
    </xf>
    <xf numFmtId="0" fontId="4" fillId="0" borderId="41" xfId="0" applyFont="1" applyFill="1" applyBorder="1" applyAlignment="1">
      <alignment horizontal="center" wrapText="1"/>
    </xf>
    <xf numFmtId="0" fontId="4" fillId="0" borderId="45" xfId="0" applyFont="1" applyFill="1" applyBorder="1" applyAlignment="1">
      <alignment horizontal="center" wrapText="1"/>
    </xf>
    <xf numFmtId="0" fontId="4" fillId="0" borderId="12" xfId="0" applyFont="1" applyFill="1" applyBorder="1" applyAlignment="1">
      <alignment horizontal="center" wrapText="1"/>
    </xf>
    <xf numFmtId="0" fontId="4" fillId="0" borderId="37" xfId="0" applyFont="1" applyFill="1" applyBorder="1" applyAlignment="1">
      <alignment horizontal="center" wrapText="1"/>
    </xf>
    <xf numFmtId="171" fontId="0" fillId="0" borderId="0" xfId="0" applyNumberFormat="1" applyFont="1" applyFill="1" applyAlignment="1">
      <alignment horizontal="left"/>
    </xf>
    <xf numFmtId="175" fontId="0" fillId="0" borderId="14" xfId="1" applyNumberFormat="1" applyFont="1" applyFill="1" applyBorder="1" applyAlignment="1">
      <alignment horizontal="right" wrapText="1"/>
    </xf>
    <xf numFmtId="171" fontId="0" fillId="0" borderId="20" xfId="0" applyNumberFormat="1" applyFont="1" applyFill="1" applyBorder="1" applyAlignment="1">
      <alignment horizontal="right" wrapText="1"/>
    </xf>
    <xf numFmtId="0" fontId="4" fillId="0" borderId="1" xfId="0" quotePrefix="1" applyFont="1" applyFill="1" applyBorder="1" applyAlignment="1">
      <alignment horizontal="center" wrapText="1"/>
    </xf>
    <xf numFmtId="0" fontId="7" fillId="0" borderId="40" xfId="0" applyFont="1" applyFill="1" applyBorder="1" applyAlignment="1">
      <alignment horizontal="center" wrapText="1"/>
    </xf>
    <xf numFmtId="0" fontId="6" fillId="0" borderId="0" xfId="8" applyFont="1" applyFill="1" applyBorder="1"/>
    <xf numFmtId="168" fontId="7" fillId="0" borderId="1" xfId="8" applyNumberFormat="1" applyFont="1" applyFill="1" applyBorder="1"/>
    <xf numFmtId="166" fontId="0" fillId="0" borderId="16" xfId="0" applyNumberFormat="1" applyBorder="1"/>
    <xf numFmtId="166" fontId="0" fillId="0" borderId="16" xfId="0" applyNumberFormat="1" applyFill="1" applyBorder="1"/>
    <xf numFmtId="166" fontId="0" fillId="0" borderId="17" xfId="0" applyNumberFormat="1" applyBorder="1"/>
    <xf numFmtId="175" fontId="0" fillId="0" borderId="13" xfId="1" applyNumberFormat="1" applyFont="1" applyFill="1" applyBorder="1" applyAlignment="1">
      <alignment horizontal="right"/>
    </xf>
    <xf numFmtId="0" fontId="0" fillId="0" borderId="0" xfId="0" quotePrefix="1" applyFill="1"/>
    <xf numFmtId="0" fontId="7" fillId="0" borderId="0" xfId="0" applyFont="1" applyFill="1" applyAlignment="1">
      <alignment horizontal="right" indent="1"/>
    </xf>
    <xf numFmtId="0" fontId="4" fillId="0" borderId="0" xfId="0" quotePrefix="1" applyFont="1" applyFill="1" applyAlignment="1">
      <alignment vertical="center" wrapText="1"/>
    </xf>
    <xf numFmtId="0" fontId="4" fillId="0" borderId="11" xfId="0" applyFont="1" applyFill="1" applyBorder="1" applyAlignment="1">
      <alignment horizontal="right" indent="1"/>
    </xf>
    <xf numFmtId="169" fontId="7" fillId="0" borderId="0" xfId="0" applyNumberFormat="1" applyFont="1" applyFill="1" applyBorder="1" applyAlignment="1">
      <alignment horizontal="left"/>
    </xf>
    <xf numFmtId="0" fontId="4" fillId="0" borderId="12" xfId="0" applyFont="1" applyFill="1" applyBorder="1" applyAlignment="1">
      <alignment horizontal="right" indent="1"/>
    </xf>
    <xf numFmtId="169" fontId="7" fillId="0" borderId="8" xfId="0" applyNumberFormat="1" applyFont="1" applyFill="1" applyBorder="1" applyAlignment="1">
      <alignment horizontal="left"/>
    </xf>
    <xf numFmtId="0" fontId="0" fillId="0" borderId="8" xfId="0" quotePrefix="1" applyFill="1" applyBorder="1"/>
    <xf numFmtId="0" fontId="0" fillId="0" borderId="8" xfId="0" applyFill="1" applyBorder="1"/>
    <xf numFmtId="0" fontId="4" fillId="0" borderId="22" xfId="0" applyFont="1" applyBorder="1" applyAlignment="1">
      <alignment vertical="center" wrapText="1"/>
    </xf>
    <xf numFmtId="0" fontId="17" fillId="0" borderId="0" xfId="0" applyFont="1" applyAlignment="1">
      <alignment vertical="center" wrapText="1"/>
    </xf>
    <xf numFmtId="0" fontId="22" fillId="0" borderId="0" xfId="0" applyFont="1" applyAlignment="1">
      <alignment vertical="center" wrapText="1"/>
    </xf>
    <xf numFmtId="0" fontId="8" fillId="0" borderId="0" xfId="0" applyFont="1" applyFill="1"/>
    <xf numFmtId="0" fontId="21" fillId="0" borderId="0" xfId="0" applyFont="1" applyFill="1"/>
    <xf numFmtId="0" fontId="13" fillId="0" borderId="0" xfId="0" applyFont="1" applyFill="1" applyBorder="1" applyAlignment="1">
      <alignment wrapText="1"/>
    </xf>
    <xf numFmtId="0" fontId="13" fillId="0" borderId="0" xfId="0" applyNumberFormat="1" applyFont="1" applyFill="1"/>
    <xf numFmtId="0" fontId="13" fillId="0" borderId="0" xfId="0" applyNumberFormat="1" applyFont="1" applyFill="1" applyBorder="1" applyAlignment="1">
      <alignment wrapText="1"/>
    </xf>
    <xf numFmtId="0" fontId="13" fillId="0" borderId="0" xfId="0" applyFont="1" applyFill="1"/>
    <xf numFmtId="166" fontId="13" fillId="0" borderId="0" xfId="0" applyNumberFormat="1" applyFont="1" applyFill="1" applyBorder="1" applyAlignment="1">
      <alignment horizontal="right"/>
    </xf>
    <xf numFmtId="0" fontId="13" fillId="0" borderId="0" xfId="0" applyFont="1" applyFill="1" applyBorder="1"/>
    <xf numFmtId="0" fontId="20" fillId="0" borderId="0" xfId="0" applyFont="1" applyFill="1" applyBorder="1" applyAlignment="1">
      <alignment vertical="center"/>
    </xf>
    <xf numFmtId="0" fontId="7" fillId="0" borderId="42" xfId="8" applyFont="1" applyFill="1" applyBorder="1" applyAlignment="1">
      <alignment horizontal="center" vertical="center"/>
    </xf>
    <xf numFmtId="0" fontId="7" fillId="0" borderId="43" xfId="8" applyFont="1" applyFill="1" applyBorder="1" applyAlignment="1">
      <alignment horizontal="center" vertical="center"/>
    </xf>
    <xf numFmtId="0" fontId="7" fillId="0" borderId="44" xfId="8" applyFont="1" applyFill="1" applyBorder="1" applyAlignment="1">
      <alignment horizontal="center" vertical="center"/>
    </xf>
    <xf numFmtId="0" fontId="7" fillId="0" borderId="42" xfId="8" applyFont="1" applyFill="1" applyBorder="1" applyAlignment="1">
      <alignment horizontal="center" vertical="center" wrapText="1"/>
    </xf>
    <xf numFmtId="0" fontId="7" fillId="0" borderId="43" xfId="8"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0" fillId="0" borderId="0" xfId="0" applyFill="1" applyBorder="1" applyAlignment="1">
      <alignment horizontal="center"/>
    </xf>
    <xf numFmtId="166" fontId="16" fillId="0" borderId="22" xfId="0" applyNumberFormat="1" applyFont="1" applyFill="1" applyBorder="1" applyAlignment="1">
      <alignment horizontal="center"/>
    </xf>
    <xf numFmtId="166" fontId="16" fillId="0" borderId="23" xfId="0" applyNumberFormat="1" applyFont="1" applyFill="1" applyBorder="1" applyAlignment="1">
      <alignment horizontal="center"/>
    </xf>
    <xf numFmtId="166" fontId="16" fillId="0" borderId="24" xfId="0" applyNumberFormat="1" applyFont="1" applyFill="1" applyBorder="1" applyAlignment="1">
      <alignment horizontal="center"/>
    </xf>
    <xf numFmtId="0" fontId="16" fillId="0" borderId="33" xfId="0" applyFont="1" applyBorder="1" applyAlignment="1">
      <alignment horizontal="center"/>
    </xf>
    <xf numFmtId="0" fontId="16" fillId="0" borderId="35" xfId="0" applyFont="1" applyBorder="1" applyAlignment="1">
      <alignment horizontal="center"/>
    </xf>
    <xf numFmtId="0" fontId="16" fillId="0" borderId="19" xfId="0" applyFont="1" applyBorder="1" applyAlignment="1">
      <alignment horizontal="center"/>
    </xf>
    <xf numFmtId="0" fontId="6" fillId="0" borderId="26"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31" xfId="0" applyFont="1" applyFill="1" applyBorder="1" applyAlignment="1">
      <alignment horizontal="center" vertical="center"/>
    </xf>
    <xf numFmtId="166" fontId="16" fillId="0" borderId="26" xfId="0" applyNumberFormat="1" applyFont="1" applyFill="1" applyBorder="1" applyAlignment="1">
      <alignment horizontal="center"/>
    </xf>
    <xf numFmtId="166" fontId="16" fillId="0" borderId="27" xfId="0" applyNumberFormat="1" applyFont="1" applyFill="1" applyBorder="1" applyAlignment="1">
      <alignment horizontal="center"/>
    </xf>
    <xf numFmtId="166" fontId="16" fillId="0" borderId="28" xfId="0" applyNumberFormat="1" applyFont="1" applyFill="1" applyBorder="1" applyAlignment="1">
      <alignment horizontal="center"/>
    </xf>
    <xf numFmtId="0" fontId="15" fillId="4" borderId="10"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6" fillId="0" borderId="22" xfId="0" applyFont="1" applyBorder="1" applyAlignment="1">
      <alignment horizontal="center"/>
    </xf>
    <xf numFmtId="0" fontId="16" fillId="0" borderId="23" xfId="0" applyFont="1" applyBorder="1" applyAlignment="1">
      <alignment horizontal="center"/>
    </xf>
    <xf numFmtId="0" fontId="4" fillId="0" borderId="0" xfId="0" applyNumberFormat="1" applyFont="1" applyAlignment="1">
      <alignment horizontal="left"/>
    </xf>
    <xf numFmtId="0" fontId="4" fillId="0" borderId="0" xfId="0" applyFont="1" applyFill="1" applyAlignment="1">
      <alignment horizontal="left"/>
    </xf>
    <xf numFmtId="0" fontId="0" fillId="0" borderId="0" xfId="0" applyNumberFormat="1" applyFont="1" applyAlignment="1">
      <alignment horizontal="left"/>
    </xf>
    <xf numFmtId="0" fontId="7" fillId="0" borderId="0" xfId="0" applyNumberFormat="1" applyFont="1" applyFill="1" applyAlignment="1">
      <alignment horizontal="left"/>
    </xf>
    <xf numFmtId="0" fontId="7" fillId="7" borderId="19" xfId="0" applyFont="1" applyFill="1" applyBorder="1" applyAlignment="1">
      <alignment horizontal="center" wrapText="1"/>
    </xf>
    <xf numFmtId="0" fontId="7" fillId="7" borderId="1" xfId="0" applyFont="1" applyFill="1" applyBorder="1" applyAlignment="1">
      <alignment horizontal="center" wrapText="1"/>
    </xf>
    <xf numFmtId="0" fontId="7" fillId="7" borderId="5" xfId="0" applyFont="1" applyFill="1" applyBorder="1" applyAlignment="1">
      <alignment horizontal="center" wrapText="1"/>
    </xf>
  </cellXfs>
  <cellStyles count="9">
    <cellStyle name="Comma 2" xfId="4" xr:uid="{00000000-0005-0000-0000-000008000000}"/>
    <cellStyle name="Comma 5" xfId="3" xr:uid="{00000000-0005-0000-0000-000007000000}"/>
    <cellStyle name="Currency 2" xfId="6" xr:uid="{00000000-0005-0000-0000-00000A000000}"/>
    <cellStyle name="Normal" xfId="0" builtinId="0"/>
    <cellStyle name="Normal 2" xfId="2" xr:uid="{00000000-0005-0000-0000-000006000000}"/>
    <cellStyle name="Normal 3" xfId="7" xr:uid="{00000000-0005-0000-0000-00000B000000}"/>
    <cellStyle name="Normal_CBTC prelim AN11" xfId="8" xr:uid="{00000000-0005-0000-0000-00000C000000}"/>
    <cellStyle name="Percent" xfId="1" builtinId="5"/>
    <cellStyle name="Percent 2" xfId="5" xr:uid="{00000000-0005-0000-0000-000009000000}"/>
  </cellStyles>
  <dxfs count="6">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zoomScaleNormal="100" workbookViewId="0"/>
  </sheetViews>
  <sheetFormatPr defaultColWidth="8.85546875" defaultRowHeight="15" x14ac:dyDescent="0.25"/>
  <cols>
    <col min="1" max="1" width="140" style="34" customWidth="1"/>
    <col min="2" max="2" width="18.28515625" style="34" customWidth="1"/>
    <col min="3" max="16384" width="8.85546875" style="34"/>
  </cols>
  <sheetData>
    <row r="1" spans="1:9" x14ac:dyDescent="0.25">
      <c r="A1" s="162" t="s">
        <v>17</v>
      </c>
    </row>
    <row r="2" spans="1:9" x14ac:dyDescent="0.25">
      <c r="A2" s="162"/>
    </row>
    <row r="3" spans="1:9" ht="14.45" customHeight="1" x14ac:dyDescent="0.25">
      <c r="A3" s="163" t="s">
        <v>125</v>
      </c>
      <c r="B3" s="163"/>
      <c r="C3" s="163"/>
      <c r="D3" s="163"/>
      <c r="E3" s="163"/>
      <c r="F3" s="163"/>
      <c r="G3" s="163"/>
      <c r="H3" s="163"/>
      <c r="I3" s="163"/>
    </row>
    <row r="4" spans="1:9" ht="14.45" customHeight="1" x14ac:dyDescent="0.25">
      <c r="A4" s="163" t="s">
        <v>76</v>
      </c>
      <c r="B4" s="163"/>
      <c r="C4" s="163"/>
      <c r="D4" s="163"/>
      <c r="E4" s="163"/>
      <c r="F4" s="163"/>
      <c r="G4" s="163"/>
      <c r="H4" s="163"/>
      <c r="I4" s="163"/>
    </row>
    <row r="5" spans="1:9" ht="14.45" customHeight="1" x14ac:dyDescent="0.25">
      <c r="A5" s="163"/>
      <c r="B5" s="163"/>
      <c r="C5" s="163"/>
      <c r="D5" s="163"/>
      <c r="E5" s="163"/>
      <c r="F5" s="163"/>
      <c r="G5" s="163"/>
      <c r="H5" s="163"/>
      <c r="I5" s="163"/>
    </row>
    <row r="6" spans="1:9" ht="14.45" customHeight="1" x14ac:dyDescent="0.25">
      <c r="A6" s="162" t="s">
        <v>77</v>
      </c>
      <c r="B6" s="163"/>
      <c r="C6" s="163"/>
      <c r="D6" s="163"/>
      <c r="E6" s="163"/>
      <c r="F6" s="163"/>
      <c r="G6" s="163"/>
      <c r="H6" s="163"/>
      <c r="I6" s="163"/>
    </row>
    <row r="7" spans="1:9" ht="14.45" customHeight="1" x14ac:dyDescent="0.25">
      <c r="A7" s="163"/>
      <c r="B7" s="163"/>
      <c r="C7" s="163"/>
      <c r="D7" s="163"/>
      <c r="E7" s="163"/>
      <c r="F7" s="163"/>
      <c r="G7" s="163"/>
      <c r="H7" s="163"/>
      <c r="I7" s="163"/>
    </row>
    <row r="8" spans="1:9" ht="14.45" customHeight="1" x14ac:dyDescent="0.25">
      <c r="A8" s="163" t="s">
        <v>83</v>
      </c>
      <c r="B8" s="163"/>
      <c r="C8" s="163"/>
      <c r="D8" s="163"/>
      <c r="E8" s="163"/>
      <c r="F8" s="163"/>
      <c r="G8" s="163"/>
      <c r="H8" s="163"/>
      <c r="I8" s="163"/>
    </row>
    <row r="9" spans="1:9" ht="14.45" customHeight="1" x14ac:dyDescent="0.25">
      <c r="A9" s="163"/>
      <c r="B9" s="163"/>
      <c r="C9" s="163"/>
      <c r="D9" s="163"/>
      <c r="E9" s="163"/>
      <c r="F9" s="163"/>
      <c r="G9" s="163"/>
      <c r="H9" s="163"/>
      <c r="I9" s="163"/>
    </row>
    <row r="10" spans="1:9" ht="14.45" customHeight="1" x14ac:dyDescent="0.25">
      <c r="A10" s="163" t="s">
        <v>111</v>
      </c>
      <c r="B10" s="163"/>
      <c r="C10" s="163"/>
      <c r="D10" s="163"/>
      <c r="E10" s="163"/>
      <c r="F10" s="163"/>
      <c r="G10" s="163"/>
      <c r="H10" s="163"/>
      <c r="I10" s="163"/>
    </row>
    <row r="11" spans="1:9" ht="14.45" customHeight="1" x14ac:dyDescent="0.25">
      <c r="A11" s="197" t="s">
        <v>112</v>
      </c>
      <c r="B11" s="163"/>
      <c r="C11" s="163"/>
      <c r="D11" s="163"/>
      <c r="E11" s="163"/>
      <c r="F11" s="163"/>
      <c r="G11" s="163"/>
      <c r="H11" s="163"/>
      <c r="I11" s="163"/>
    </row>
    <row r="12" spans="1:9" ht="14.45" customHeight="1" x14ac:dyDescent="0.25">
      <c r="A12" s="197" t="s">
        <v>113</v>
      </c>
      <c r="B12" s="163"/>
      <c r="C12" s="163"/>
      <c r="D12" s="163"/>
      <c r="E12" s="163"/>
      <c r="F12" s="163"/>
      <c r="G12" s="163"/>
      <c r="H12" s="163"/>
      <c r="I12" s="163"/>
    </row>
    <row r="13" spans="1:9" ht="14.45" customHeight="1" x14ac:dyDescent="0.25">
      <c r="A13" s="197" t="s">
        <v>114</v>
      </c>
      <c r="B13" s="163"/>
      <c r="C13" s="163"/>
      <c r="D13" s="163"/>
      <c r="E13" s="163"/>
      <c r="F13" s="163"/>
      <c r="G13" s="163"/>
      <c r="H13" s="163"/>
      <c r="I13" s="163"/>
    </row>
    <row r="14" spans="1:9" ht="14.45" customHeight="1" x14ac:dyDescent="0.25">
      <c r="A14" s="237" t="s">
        <v>133</v>
      </c>
      <c r="B14" s="163"/>
      <c r="C14" s="163"/>
      <c r="D14" s="163"/>
      <c r="E14" s="163"/>
      <c r="F14" s="163"/>
      <c r="G14" s="163"/>
      <c r="H14" s="163"/>
      <c r="I14" s="163"/>
    </row>
    <row r="15" spans="1:9" ht="14.45" customHeight="1" x14ac:dyDescent="0.25">
      <c r="A15" s="238" t="s">
        <v>75</v>
      </c>
      <c r="B15" s="163"/>
      <c r="C15" s="163"/>
      <c r="D15" s="163"/>
      <c r="E15" s="163"/>
      <c r="F15" s="163"/>
      <c r="G15" s="163"/>
      <c r="H15" s="163"/>
      <c r="I15" s="163"/>
    </row>
    <row r="16" spans="1:9" ht="14.45" customHeight="1" x14ac:dyDescent="0.25">
      <c r="A16" s="237" t="s">
        <v>134</v>
      </c>
      <c r="B16" s="163"/>
      <c r="C16" s="163"/>
      <c r="D16" s="163"/>
      <c r="E16" s="163"/>
      <c r="F16" s="163"/>
      <c r="G16" s="163"/>
      <c r="H16" s="163"/>
      <c r="I16" s="163"/>
    </row>
    <row r="17" spans="1:9" ht="14.45" customHeight="1" x14ac:dyDescent="0.25">
      <c r="A17" s="237" t="s">
        <v>140</v>
      </c>
      <c r="B17" s="163"/>
      <c r="C17" s="163"/>
      <c r="D17" s="163"/>
      <c r="E17" s="163"/>
      <c r="F17" s="163"/>
      <c r="G17" s="163"/>
      <c r="H17" s="163"/>
      <c r="I17" s="163"/>
    </row>
    <row r="18" spans="1:9" ht="14.45" customHeight="1" x14ac:dyDescent="0.25">
      <c r="A18" s="163" t="s">
        <v>135</v>
      </c>
      <c r="B18" s="163"/>
      <c r="C18" s="163"/>
      <c r="D18" s="163"/>
      <c r="E18" s="163"/>
      <c r="F18" s="163"/>
      <c r="G18" s="163"/>
      <c r="H18" s="163"/>
      <c r="I18" s="163"/>
    </row>
    <row r="19" spans="1:9" ht="14.45" customHeight="1" x14ac:dyDescent="0.25">
      <c r="A19" s="163" t="s">
        <v>75</v>
      </c>
      <c r="B19" s="163"/>
      <c r="C19" s="163"/>
      <c r="D19" s="163"/>
      <c r="E19" s="163"/>
      <c r="F19" s="163"/>
      <c r="G19" s="163"/>
      <c r="H19" s="163"/>
      <c r="I19" s="163"/>
    </row>
    <row r="20" spans="1:9" ht="14.45" customHeight="1" x14ac:dyDescent="0.25">
      <c r="A20" s="164" t="s">
        <v>85</v>
      </c>
      <c r="B20" s="163"/>
      <c r="C20" s="163" t="s">
        <v>75</v>
      </c>
      <c r="D20" s="163"/>
      <c r="E20" s="163"/>
      <c r="F20" s="163"/>
      <c r="G20" s="163"/>
      <c r="H20" s="163"/>
      <c r="I20" s="163"/>
    </row>
    <row r="21" spans="1:9" ht="14.45" customHeight="1" x14ac:dyDescent="0.25">
      <c r="A21" s="164" t="s">
        <v>86</v>
      </c>
      <c r="B21" s="163"/>
      <c r="C21" s="163"/>
      <c r="D21" s="163"/>
      <c r="E21" s="163"/>
      <c r="F21" s="163"/>
      <c r="G21" s="163"/>
      <c r="H21" s="163"/>
      <c r="I21" s="163"/>
    </row>
    <row r="22" spans="1:9" ht="14.45" customHeight="1" x14ac:dyDescent="0.25">
      <c r="A22" s="164" t="s">
        <v>87</v>
      </c>
      <c r="B22" s="163"/>
      <c r="C22" s="163"/>
      <c r="D22" s="163"/>
      <c r="E22" s="163"/>
      <c r="F22" s="163"/>
      <c r="G22" s="163"/>
      <c r="H22" s="163"/>
      <c r="I22" s="163"/>
    </row>
    <row r="23" spans="1:9" ht="14.45" customHeight="1" x14ac:dyDescent="0.25">
      <c r="A23" s="58"/>
    </row>
    <row r="24" spans="1:9" ht="14.45" customHeight="1" x14ac:dyDescent="0.25">
      <c r="A24" s="163" t="s">
        <v>81</v>
      </c>
    </row>
    <row r="25" spans="1:9" ht="14.45" customHeight="1" x14ac:dyDescent="0.25">
      <c r="A25" s="163" t="s">
        <v>80</v>
      </c>
    </row>
    <row r="26" spans="1:9" ht="14.45" customHeight="1" x14ac:dyDescent="0.25">
      <c r="A26" s="162" t="s">
        <v>82</v>
      </c>
    </row>
    <row r="27" spans="1:9" ht="14.45" customHeight="1" x14ac:dyDescent="0.25">
      <c r="A27" s="162"/>
    </row>
    <row r="28" spans="1:9" ht="14.45" customHeight="1" x14ac:dyDescent="0.25">
      <c r="A28" s="165" t="s">
        <v>136</v>
      </c>
      <c r="B28" s="163"/>
      <c r="C28" s="163"/>
      <c r="D28" s="163"/>
      <c r="E28" s="163"/>
      <c r="F28" s="163"/>
      <c r="G28" s="163"/>
      <c r="H28" s="163"/>
      <c r="I28" s="163"/>
    </row>
    <row r="29" spans="1:9" ht="14.45" customHeight="1" x14ac:dyDescent="0.25">
      <c r="A29" s="165" t="s">
        <v>137</v>
      </c>
      <c r="B29" s="163"/>
      <c r="C29" s="163"/>
      <c r="D29" s="163"/>
      <c r="E29" s="163"/>
      <c r="F29" s="163"/>
      <c r="G29" s="163"/>
      <c r="H29" s="163"/>
      <c r="I29" s="163"/>
    </row>
    <row r="30" spans="1:9" ht="14.45" customHeight="1" x14ac:dyDescent="0.25">
      <c r="A30" s="165" t="s">
        <v>138</v>
      </c>
      <c r="B30" s="163"/>
      <c r="C30" s="163"/>
      <c r="D30" s="163"/>
      <c r="E30" s="163"/>
      <c r="F30" s="163"/>
      <c r="G30" s="163"/>
      <c r="H30" s="163"/>
      <c r="I30" s="163"/>
    </row>
    <row r="31" spans="1:9" ht="14.45" customHeight="1" x14ac:dyDescent="0.25">
      <c r="A31" s="165" t="s">
        <v>139</v>
      </c>
      <c r="B31" s="163"/>
      <c r="C31" s="163"/>
      <c r="D31" s="163"/>
      <c r="E31" s="163"/>
      <c r="F31" s="163"/>
      <c r="G31" s="163"/>
      <c r="H31" s="163"/>
      <c r="I31" s="163"/>
    </row>
    <row r="32" spans="1:9" ht="14.45" customHeight="1" x14ac:dyDescent="0.25">
      <c r="A32" s="167" t="s">
        <v>141</v>
      </c>
      <c r="B32" s="163"/>
      <c r="C32" s="163"/>
      <c r="D32" s="163"/>
      <c r="E32" s="163"/>
      <c r="F32" s="163"/>
      <c r="G32" s="163"/>
      <c r="H32" s="163"/>
      <c r="I32" s="163"/>
    </row>
    <row r="33" spans="1:9" ht="14.45" customHeight="1" x14ac:dyDescent="0.25">
      <c r="B33" s="163"/>
      <c r="C33" s="163"/>
      <c r="D33" s="163"/>
      <c r="E33" s="163"/>
      <c r="F33" s="163"/>
      <c r="G33" s="163"/>
      <c r="H33" s="163"/>
      <c r="I33" s="163"/>
    </row>
    <row r="34" spans="1:9" ht="14.45" customHeight="1" x14ac:dyDescent="0.25">
      <c r="A34" s="165"/>
      <c r="B34" s="163"/>
      <c r="C34" s="163"/>
      <c r="D34" s="163"/>
      <c r="E34" s="163"/>
      <c r="F34" s="163"/>
      <c r="G34" s="163"/>
      <c r="H34" s="163"/>
      <c r="I34" s="163"/>
    </row>
    <row r="36" spans="1:9" x14ac:dyDescent="0.25">
      <c r="A36" s="166" t="s">
        <v>18</v>
      </c>
    </row>
    <row r="37" spans="1:9" x14ac:dyDescent="0.25">
      <c r="A37" s="34" t="s">
        <v>67</v>
      </c>
    </row>
    <row r="38" spans="1:9" x14ac:dyDescent="0.25">
      <c r="A38" s="34" t="s">
        <v>84</v>
      </c>
    </row>
    <row r="39" spans="1:9" x14ac:dyDescent="0.25">
      <c r="A39" s="167" t="s">
        <v>68</v>
      </c>
    </row>
    <row r="41" spans="1:9" x14ac:dyDescent="0.25">
      <c r="A41" s="162"/>
    </row>
    <row r="43" spans="1:9" x14ac:dyDescent="0.25">
      <c r="A43" s="162"/>
    </row>
    <row r="44" spans="1:9" x14ac:dyDescent="0.25">
      <c r="A44" s="162"/>
    </row>
    <row r="45" spans="1:9" x14ac:dyDescent="0.25">
      <c r="A45" s="162"/>
    </row>
  </sheetData>
  <pageMargins left="0.25" right="0.25"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CEFD-6DCB-4A94-9DA7-0EF7E848680B}">
  <sheetPr>
    <pageSetUpPr fitToPage="1"/>
  </sheetPr>
  <dimension ref="A1:T21"/>
  <sheetViews>
    <sheetView topLeftCell="A13" zoomScale="70" zoomScaleNormal="70" workbookViewId="0">
      <selection activeCell="D9" sqref="D9"/>
    </sheetView>
  </sheetViews>
  <sheetFormatPr defaultRowHeight="15.75" x14ac:dyDescent="0.25"/>
  <cols>
    <col min="1" max="1" width="31.7109375" style="19" bestFit="1" customWidth="1"/>
    <col min="2" max="2" width="42.140625" style="19" customWidth="1"/>
    <col min="3" max="3" width="27.28515625" style="19" customWidth="1"/>
    <col min="4" max="4" width="32.28515625" style="19" customWidth="1"/>
    <col min="5" max="5" width="20.7109375" style="19" customWidth="1"/>
    <col min="6" max="6" width="26.7109375" style="19" customWidth="1"/>
    <col min="7" max="7" width="20.7109375" style="19" customWidth="1"/>
    <col min="8" max="8" width="23.140625" style="19" customWidth="1"/>
    <col min="9" max="12" width="20.7109375" style="1" customWidth="1"/>
    <col min="13" max="14" width="20.7109375" style="132" customWidth="1"/>
    <col min="15" max="33" width="20.7109375" style="1" customWidth="1"/>
    <col min="34" max="256" width="8.85546875" style="1"/>
    <col min="257" max="257" width="13.7109375" style="1" customWidth="1"/>
    <col min="258" max="258" width="14.28515625" style="1" customWidth="1"/>
    <col min="259" max="259" width="27.7109375" style="1" customWidth="1"/>
    <col min="260" max="260" width="19.140625" style="1" customWidth="1"/>
    <col min="261" max="261" width="23.28515625" style="1" customWidth="1"/>
    <col min="262" max="262" width="20.7109375" style="1" customWidth="1"/>
    <col min="263" max="263" width="23.140625" style="1" customWidth="1"/>
    <col min="264" max="264" width="24" style="1" customWidth="1"/>
    <col min="265" max="265" width="17" style="1" customWidth="1"/>
    <col min="266" max="266" width="8.85546875" style="1"/>
    <col min="267" max="267" width="16" style="1" customWidth="1"/>
    <col min="268" max="268" width="16.7109375" style="1" customWidth="1"/>
    <col min="269" max="269" width="13.28515625" style="1" customWidth="1"/>
    <col min="270" max="512" width="8.85546875" style="1"/>
    <col min="513" max="513" width="13.7109375" style="1" customWidth="1"/>
    <col min="514" max="514" width="14.28515625" style="1" customWidth="1"/>
    <col min="515" max="515" width="27.7109375" style="1" customWidth="1"/>
    <col min="516" max="516" width="19.140625" style="1" customWidth="1"/>
    <col min="517" max="517" width="23.28515625" style="1" customWidth="1"/>
    <col min="518" max="518" width="20.7109375" style="1" customWidth="1"/>
    <col min="519" max="519" width="23.140625" style="1" customWidth="1"/>
    <col min="520" max="520" width="24" style="1" customWidth="1"/>
    <col min="521" max="521" width="17" style="1" customWidth="1"/>
    <col min="522" max="522" width="8.85546875" style="1"/>
    <col min="523" max="523" width="16" style="1" customWidth="1"/>
    <col min="524" max="524" width="16.7109375" style="1" customWidth="1"/>
    <col min="525" max="525" width="13.28515625" style="1" customWidth="1"/>
    <col min="526" max="768" width="8.85546875" style="1"/>
    <col min="769" max="769" width="13.7109375" style="1" customWidth="1"/>
    <col min="770" max="770" width="14.28515625" style="1" customWidth="1"/>
    <col min="771" max="771" width="27.7109375" style="1" customWidth="1"/>
    <col min="772" max="772" width="19.140625" style="1" customWidth="1"/>
    <col min="773" max="773" width="23.28515625" style="1" customWidth="1"/>
    <col min="774" max="774" width="20.7109375" style="1" customWidth="1"/>
    <col min="775" max="775" width="23.140625" style="1" customWidth="1"/>
    <col min="776" max="776" width="24" style="1" customWidth="1"/>
    <col min="777" max="777" width="17" style="1" customWidth="1"/>
    <col min="778" max="778" width="8.85546875" style="1"/>
    <col min="779" max="779" width="16" style="1" customWidth="1"/>
    <col min="780" max="780" width="16.7109375" style="1" customWidth="1"/>
    <col min="781" max="781" width="13.28515625" style="1" customWidth="1"/>
    <col min="782" max="1024" width="8.85546875" style="1"/>
    <col min="1025" max="1025" width="13.7109375" style="1" customWidth="1"/>
    <col min="1026" max="1026" width="14.28515625" style="1" customWidth="1"/>
    <col min="1027" max="1027" width="27.7109375" style="1" customWidth="1"/>
    <col min="1028" max="1028" width="19.140625" style="1" customWidth="1"/>
    <col min="1029" max="1029" width="23.28515625" style="1" customWidth="1"/>
    <col min="1030" max="1030" width="20.7109375" style="1" customWidth="1"/>
    <col min="1031" max="1031" width="23.140625" style="1" customWidth="1"/>
    <col min="1032" max="1032" width="24" style="1" customWidth="1"/>
    <col min="1033" max="1033" width="17" style="1" customWidth="1"/>
    <col min="1034" max="1034" width="8.85546875" style="1"/>
    <col min="1035" max="1035" width="16" style="1" customWidth="1"/>
    <col min="1036" max="1036" width="16.7109375" style="1" customWidth="1"/>
    <col min="1037" max="1037" width="13.28515625" style="1" customWidth="1"/>
    <col min="1038" max="1280" width="8.85546875" style="1"/>
    <col min="1281" max="1281" width="13.7109375" style="1" customWidth="1"/>
    <col min="1282" max="1282" width="14.28515625" style="1" customWidth="1"/>
    <col min="1283" max="1283" width="27.7109375" style="1" customWidth="1"/>
    <col min="1284" max="1284" width="19.140625" style="1" customWidth="1"/>
    <col min="1285" max="1285" width="23.28515625" style="1" customWidth="1"/>
    <col min="1286" max="1286" width="20.7109375" style="1" customWidth="1"/>
    <col min="1287" max="1287" width="23.140625" style="1" customWidth="1"/>
    <col min="1288" max="1288" width="24" style="1" customWidth="1"/>
    <col min="1289" max="1289" width="17" style="1" customWidth="1"/>
    <col min="1290" max="1290" width="8.85546875" style="1"/>
    <col min="1291" max="1291" width="16" style="1" customWidth="1"/>
    <col min="1292" max="1292" width="16.7109375" style="1" customWidth="1"/>
    <col min="1293" max="1293" width="13.28515625" style="1" customWidth="1"/>
    <col min="1294" max="1536" width="8.85546875" style="1"/>
    <col min="1537" max="1537" width="13.7109375" style="1" customWidth="1"/>
    <col min="1538" max="1538" width="14.28515625" style="1" customWidth="1"/>
    <col min="1539" max="1539" width="27.7109375" style="1" customWidth="1"/>
    <col min="1540" max="1540" width="19.140625" style="1" customWidth="1"/>
    <col min="1541" max="1541" width="23.28515625" style="1" customWidth="1"/>
    <col min="1542" max="1542" width="20.7109375" style="1" customWidth="1"/>
    <col min="1543" max="1543" width="23.140625" style="1" customWidth="1"/>
    <col min="1544" max="1544" width="24" style="1" customWidth="1"/>
    <col min="1545" max="1545" width="17" style="1" customWidth="1"/>
    <col min="1546" max="1546" width="8.85546875" style="1"/>
    <col min="1547" max="1547" width="16" style="1" customWidth="1"/>
    <col min="1548" max="1548" width="16.7109375" style="1" customWidth="1"/>
    <col min="1549" max="1549" width="13.28515625" style="1" customWidth="1"/>
    <col min="1550" max="1792" width="8.85546875" style="1"/>
    <col min="1793" max="1793" width="13.7109375" style="1" customWidth="1"/>
    <col min="1794" max="1794" width="14.28515625" style="1" customWidth="1"/>
    <col min="1795" max="1795" width="27.7109375" style="1" customWidth="1"/>
    <col min="1796" max="1796" width="19.140625" style="1" customWidth="1"/>
    <col min="1797" max="1797" width="23.28515625" style="1" customWidth="1"/>
    <col min="1798" max="1798" width="20.7109375" style="1" customWidth="1"/>
    <col min="1799" max="1799" width="23.140625" style="1" customWidth="1"/>
    <col min="1800" max="1800" width="24" style="1" customWidth="1"/>
    <col min="1801" max="1801" width="17" style="1" customWidth="1"/>
    <col min="1802" max="1802" width="8.85546875" style="1"/>
    <col min="1803" max="1803" width="16" style="1" customWidth="1"/>
    <col min="1804" max="1804" width="16.7109375" style="1" customWidth="1"/>
    <col min="1805" max="1805" width="13.28515625" style="1" customWidth="1"/>
    <col min="1806" max="2048" width="8.85546875" style="1"/>
    <col min="2049" max="2049" width="13.7109375" style="1" customWidth="1"/>
    <col min="2050" max="2050" width="14.28515625" style="1" customWidth="1"/>
    <col min="2051" max="2051" width="27.7109375" style="1" customWidth="1"/>
    <col min="2052" max="2052" width="19.140625" style="1" customWidth="1"/>
    <col min="2053" max="2053" width="23.28515625" style="1" customWidth="1"/>
    <col min="2054" max="2054" width="20.7109375" style="1" customWidth="1"/>
    <col min="2055" max="2055" width="23.140625" style="1" customWidth="1"/>
    <col min="2056" max="2056" width="24" style="1" customWidth="1"/>
    <col min="2057" max="2057" width="17" style="1" customWidth="1"/>
    <col min="2058" max="2058" width="8.85546875" style="1"/>
    <col min="2059" max="2059" width="16" style="1" customWidth="1"/>
    <col min="2060" max="2060" width="16.7109375" style="1" customWidth="1"/>
    <col min="2061" max="2061" width="13.28515625" style="1" customWidth="1"/>
    <col min="2062" max="2304" width="8.85546875" style="1"/>
    <col min="2305" max="2305" width="13.7109375" style="1" customWidth="1"/>
    <col min="2306" max="2306" width="14.28515625" style="1" customWidth="1"/>
    <col min="2307" max="2307" width="27.7109375" style="1" customWidth="1"/>
    <col min="2308" max="2308" width="19.140625" style="1" customWidth="1"/>
    <col min="2309" max="2309" width="23.28515625" style="1" customWidth="1"/>
    <col min="2310" max="2310" width="20.7109375" style="1" customWidth="1"/>
    <col min="2311" max="2311" width="23.140625" style="1" customWidth="1"/>
    <col min="2312" max="2312" width="24" style="1" customWidth="1"/>
    <col min="2313" max="2313" width="17" style="1" customWidth="1"/>
    <col min="2314" max="2314" width="8.85546875" style="1"/>
    <col min="2315" max="2315" width="16" style="1" customWidth="1"/>
    <col min="2316" max="2316" width="16.7109375" style="1" customWidth="1"/>
    <col min="2317" max="2317" width="13.28515625" style="1" customWidth="1"/>
    <col min="2318" max="2560" width="8.85546875" style="1"/>
    <col min="2561" max="2561" width="13.7109375" style="1" customWidth="1"/>
    <col min="2562" max="2562" width="14.28515625" style="1" customWidth="1"/>
    <col min="2563" max="2563" width="27.7109375" style="1" customWidth="1"/>
    <col min="2564" max="2564" width="19.140625" style="1" customWidth="1"/>
    <col min="2565" max="2565" width="23.28515625" style="1" customWidth="1"/>
    <col min="2566" max="2566" width="20.7109375" style="1" customWidth="1"/>
    <col min="2567" max="2567" width="23.140625" style="1" customWidth="1"/>
    <col min="2568" max="2568" width="24" style="1" customWidth="1"/>
    <col min="2569" max="2569" width="17" style="1" customWidth="1"/>
    <col min="2570" max="2570" width="8.85546875" style="1"/>
    <col min="2571" max="2571" width="16" style="1" customWidth="1"/>
    <col min="2572" max="2572" width="16.7109375" style="1" customWidth="1"/>
    <col min="2573" max="2573" width="13.28515625" style="1" customWidth="1"/>
    <col min="2574" max="2816" width="8.85546875" style="1"/>
    <col min="2817" max="2817" width="13.7109375" style="1" customWidth="1"/>
    <col min="2818" max="2818" width="14.28515625" style="1" customWidth="1"/>
    <col min="2819" max="2819" width="27.7109375" style="1" customWidth="1"/>
    <col min="2820" max="2820" width="19.140625" style="1" customWidth="1"/>
    <col min="2821" max="2821" width="23.28515625" style="1" customWidth="1"/>
    <col min="2822" max="2822" width="20.7109375" style="1" customWidth="1"/>
    <col min="2823" max="2823" width="23.140625" style="1" customWidth="1"/>
    <col min="2824" max="2824" width="24" style="1" customWidth="1"/>
    <col min="2825" max="2825" width="17" style="1" customWidth="1"/>
    <col min="2826" max="2826" width="8.85546875" style="1"/>
    <col min="2827" max="2827" width="16" style="1" customWidth="1"/>
    <col min="2828" max="2828" width="16.7109375" style="1" customWidth="1"/>
    <col min="2829" max="2829" width="13.28515625" style="1" customWidth="1"/>
    <col min="2830" max="3072" width="8.85546875" style="1"/>
    <col min="3073" max="3073" width="13.7109375" style="1" customWidth="1"/>
    <col min="3074" max="3074" width="14.28515625" style="1" customWidth="1"/>
    <col min="3075" max="3075" width="27.7109375" style="1" customWidth="1"/>
    <col min="3076" max="3076" width="19.140625" style="1" customWidth="1"/>
    <col min="3077" max="3077" width="23.28515625" style="1" customWidth="1"/>
    <col min="3078" max="3078" width="20.7109375" style="1" customWidth="1"/>
    <col min="3079" max="3079" width="23.140625" style="1" customWidth="1"/>
    <col min="3080" max="3080" width="24" style="1" customWidth="1"/>
    <col min="3081" max="3081" width="17" style="1" customWidth="1"/>
    <col min="3082" max="3082" width="8.85546875" style="1"/>
    <col min="3083" max="3083" width="16" style="1" customWidth="1"/>
    <col min="3084" max="3084" width="16.7109375" style="1" customWidth="1"/>
    <col min="3085" max="3085" width="13.28515625" style="1" customWidth="1"/>
    <col min="3086" max="3328" width="8.85546875" style="1"/>
    <col min="3329" max="3329" width="13.7109375" style="1" customWidth="1"/>
    <col min="3330" max="3330" width="14.28515625" style="1" customWidth="1"/>
    <col min="3331" max="3331" width="27.7109375" style="1" customWidth="1"/>
    <col min="3332" max="3332" width="19.140625" style="1" customWidth="1"/>
    <col min="3333" max="3333" width="23.28515625" style="1" customWidth="1"/>
    <col min="3334" max="3334" width="20.7109375" style="1" customWidth="1"/>
    <col min="3335" max="3335" width="23.140625" style="1" customWidth="1"/>
    <col min="3336" max="3336" width="24" style="1" customWidth="1"/>
    <col min="3337" max="3337" width="17" style="1" customWidth="1"/>
    <col min="3338" max="3338" width="8.85546875" style="1"/>
    <col min="3339" max="3339" width="16" style="1" customWidth="1"/>
    <col min="3340" max="3340" width="16.7109375" style="1" customWidth="1"/>
    <col min="3341" max="3341" width="13.28515625" style="1" customWidth="1"/>
    <col min="3342" max="3584" width="8.85546875" style="1"/>
    <col min="3585" max="3585" width="13.7109375" style="1" customWidth="1"/>
    <col min="3586" max="3586" width="14.28515625" style="1" customWidth="1"/>
    <col min="3587" max="3587" width="27.7109375" style="1" customWidth="1"/>
    <col min="3588" max="3588" width="19.140625" style="1" customWidth="1"/>
    <col min="3589" max="3589" width="23.28515625" style="1" customWidth="1"/>
    <col min="3590" max="3590" width="20.7109375" style="1" customWidth="1"/>
    <col min="3591" max="3591" width="23.140625" style="1" customWidth="1"/>
    <col min="3592" max="3592" width="24" style="1" customWidth="1"/>
    <col min="3593" max="3593" width="17" style="1" customWidth="1"/>
    <col min="3594" max="3594" width="8.85546875" style="1"/>
    <col min="3595" max="3595" width="16" style="1" customWidth="1"/>
    <col min="3596" max="3596" width="16.7109375" style="1" customWidth="1"/>
    <col min="3597" max="3597" width="13.28515625" style="1" customWidth="1"/>
    <col min="3598" max="3840" width="8.85546875" style="1"/>
    <col min="3841" max="3841" width="13.7109375" style="1" customWidth="1"/>
    <col min="3842" max="3842" width="14.28515625" style="1" customWidth="1"/>
    <col min="3843" max="3843" width="27.7109375" style="1" customWidth="1"/>
    <col min="3844" max="3844" width="19.140625" style="1" customWidth="1"/>
    <col min="3845" max="3845" width="23.28515625" style="1" customWidth="1"/>
    <col min="3846" max="3846" width="20.7109375" style="1" customWidth="1"/>
    <col min="3847" max="3847" width="23.140625" style="1" customWidth="1"/>
    <col min="3848" max="3848" width="24" style="1" customWidth="1"/>
    <col min="3849" max="3849" width="17" style="1" customWidth="1"/>
    <col min="3850" max="3850" width="8.85546875" style="1"/>
    <col min="3851" max="3851" width="16" style="1" customWidth="1"/>
    <col min="3852" max="3852" width="16.7109375" style="1" customWidth="1"/>
    <col min="3853" max="3853" width="13.28515625" style="1" customWidth="1"/>
    <col min="3854" max="4096" width="8.85546875" style="1"/>
    <col min="4097" max="4097" width="13.7109375" style="1" customWidth="1"/>
    <col min="4098" max="4098" width="14.28515625" style="1" customWidth="1"/>
    <col min="4099" max="4099" width="27.7109375" style="1" customWidth="1"/>
    <col min="4100" max="4100" width="19.140625" style="1" customWidth="1"/>
    <col min="4101" max="4101" width="23.28515625" style="1" customWidth="1"/>
    <col min="4102" max="4102" width="20.7109375" style="1" customWidth="1"/>
    <col min="4103" max="4103" width="23.140625" style="1" customWidth="1"/>
    <col min="4104" max="4104" width="24" style="1" customWidth="1"/>
    <col min="4105" max="4105" width="17" style="1" customWidth="1"/>
    <col min="4106" max="4106" width="8.85546875" style="1"/>
    <col min="4107" max="4107" width="16" style="1" customWidth="1"/>
    <col min="4108" max="4108" width="16.7109375" style="1" customWidth="1"/>
    <col min="4109" max="4109" width="13.28515625" style="1" customWidth="1"/>
    <col min="4110" max="4352" width="8.85546875" style="1"/>
    <col min="4353" max="4353" width="13.7109375" style="1" customWidth="1"/>
    <col min="4354" max="4354" width="14.28515625" style="1" customWidth="1"/>
    <col min="4355" max="4355" width="27.7109375" style="1" customWidth="1"/>
    <col min="4356" max="4356" width="19.140625" style="1" customWidth="1"/>
    <col min="4357" max="4357" width="23.28515625" style="1" customWidth="1"/>
    <col min="4358" max="4358" width="20.7109375" style="1" customWidth="1"/>
    <col min="4359" max="4359" width="23.140625" style="1" customWidth="1"/>
    <col min="4360" max="4360" width="24" style="1" customWidth="1"/>
    <col min="4361" max="4361" width="17" style="1" customWidth="1"/>
    <col min="4362" max="4362" width="8.85546875" style="1"/>
    <col min="4363" max="4363" width="16" style="1" customWidth="1"/>
    <col min="4364" max="4364" width="16.7109375" style="1" customWidth="1"/>
    <col min="4365" max="4365" width="13.28515625" style="1" customWidth="1"/>
    <col min="4366" max="4608" width="8.85546875" style="1"/>
    <col min="4609" max="4609" width="13.7109375" style="1" customWidth="1"/>
    <col min="4610" max="4610" width="14.28515625" style="1" customWidth="1"/>
    <col min="4611" max="4611" width="27.7109375" style="1" customWidth="1"/>
    <col min="4612" max="4612" width="19.140625" style="1" customWidth="1"/>
    <col min="4613" max="4613" width="23.28515625" style="1" customWidth="1"/>
    <col min="4614" max="4614" width="20.7109375" style="1" customWidth="1"/>
    <col min="4615" max="4615" width="23.140625" style="1" customWidth="1"/>
    <col min="4616" max="4616" width="24" style="1" customWidth="1"/>
    <col min="4617" max="4617" width="17" style="1" customWidth="1"/>
    <col min="4618" max="4618" width="8.85546875" style="1"/>
    <col min="4619" max="4619" width="16" style="1" customWidth="1"/>
    <col min="4620" max="4620" width="16.7109375" style="1" customWidth="1"/>
    <col min="4621" max="4621" width="13.28515625" style="1" customWidth="1"/>
    <col min="4622" max="4864" width="8.85546875" style="1"/>
    <col min="4865" max="4865" width="13.7109375" style="1" customWidth="1"/>
    <col min="4866" max="4866" width="14.28515625" style="1" customWidth="1"/>
    <col min="4867" max="4867" width="27.7109375" style="1" customWidth="1"/>
    <col min="4868" max="4868" width="19.140625" style="1" customWidth="1"/>
    <col min="4869" max="4869" width="23.28515625" style="1" customWidth="1"/>
    <col min="4870" max="4870" width="20.7109375" style="1" customWidth="1"/>
    <col min="4871" max="4871" width="23.140625" style="1" customWidth="1"/>
    <col min="4872" max="4872" width="24" style="1" customWidth="1"/>
    <col min="4873" max="4873" width="17" style="1" customWidth="1"/>
    <col min="4874" max="4874" width="8.85546875" style="1"/>
    <col min="4875" max="4875" width="16" style="1" customWidth="1"/>
    <col min="4876" max="4876" width="16.7109375" style="1" customWidth="1"/>
    <col min="4877" max="4877" width="13.28515625" style="1" customWidth="1"/>
    <col min="4878" max="5120" width="8.85546875" style="1"/>
    <col min="5121" max="5121" width="13.7109375" style="1" customWidth="1"/>
    <col min="5122" max="5122" width="14.28515625" style="1" customWidth="1"/>
    <col min="5123" max="5123" width="27.7109375" style="1" customWidth="1"/>
    <col min="5124" max="5124" width="19.140625" style="1" customWidth="1"/>
    <col min="5125" max="5125" width="23.28515625" style="1" customWidth="1"/>
    <col min="5126" max="5126" width="20.7109375" style="1" customWidth="1"/>
    <col min="5127" max="5127" width="23.140625" style="1" customWidth="1"/>
    <col min="5128" max="5128" width="24" style="1" customWidth="1"/>
    <col min="5129" max="5129" width="17" style="1" customWidth="1"/>
    <col min="5130" max="5130" width="8.85546875" style="1"/>
    <col min="5131" max="5131" width="16" style="1" customWidth="1"/>
    <col min="5132" max="5132" width="16.7109375" style="1" customWidth="1"/>
    <col min="5133" max="5133" width="13.28515625" style="1" customWidth="1"/>
    <col min="5134" max="5376" width="8.85546875" style="1"/>
    <col min="5377" max="5377" width="13.7109375" style="1" customWidth="1"/>
    <col min="5378" max="5378" width="14.28515625" style="1" customWidth="1"/>
    <col min="5379" max="5379" width="27.7109375" style="1" customWidth="1"/>
    <col min="5380" max="5380" width="19.140625" style="1" customWidth="1"/>
    <col min="5381" max="5381" width="23.28515625" style="1" customWidth="1"/>
    <col min="5382" max="5382" width="20.7109375" style="1" customWidth="1"/>
    <col min="5383" max="5383" width="23.140625" style="1" customWidth="1"/>
    <col min="5384" max="5384" width="24" style="1" customWidth="1"/>
    <col min="5385" max="5385" width="17" style="1" customWidth="1"/>
    <col min="5386" max="5386" width="8.85546875" style="1"/>
    <col min="5387" max="5387" width="16" style="1" customWidth="1"/>
    <col min="5388" max="5388" width="16.7109375" style="1" customWidth="1"/>
    <col min="5389" max="5389" width="13.28515625" style="1" customWidth="1"/>
    <col min="5390" max="5632" width="8.85546875" style="1"/>
    <col min="5633" max="5633" width="13.7109375" style="1" customWidth="1"/>
    <col min="5634" max="5634" width="14.28515625" style="1" customWidth="1"/>
    <col min="5635" max="5635" width="27.7109375" style="1" customWidth="1"/>
    <col min="5636" max="5636" width="19.140625" style="1" customWidth="1"/>
    <col min="5637" max="5637" width="23.28515625" style="1" customWidth="1"/>
    <col min="5638" max="5638" width="20.7109375" style="1" customWidth="1"/>
    <col min="5639" max="5639" width="23.140625" style="1" customWidth="1"/>
    <col min="5640" max="5640" width="24" style="1" customWidth="1"/>
    <col min="5641" max="5641" width="17" style="1" customWidth="1"/>
    <col min="5642" max="5642" width="8.85546875" style="1"/>
    <col min="5643" max="5643" width="16" style="1" customWidth="1"/>
    <col min="5644" max="5644" width="16.7109375" style="1" customWidth="1"/>
    <col min="5645" max="5645" width="13.28515625" style="1" customWidth="1"/>
    <col min="5646" max="5888" width="8.85546875" style="1"/>
    <col min="5889" max="5889" width="13.7109375" style="1" customWidth="1"/>
    <col min="5890" max="5890" width="14.28515625" style="1" customWidth="1"/>
    <col min="5891" max="5891" width="27.7109375" style="1" customWidth="1"/>
    <col min="5892" max="5892" width="19.140625" style="1" customWidth="1"/>
    <col min="5893" max="5893" width="23.28515625" style="1" customWidth="1"/>
    <col min="5894" max="5894" width="20.7109375" style="1" customWidth="1"/>
    <col min="5895" max="5895" width="23.140625" style="1" customWidth="1"/>
    <col min="5896" max="5896" width="24" style="1" customWidth="1"/>
    <col min="5897" max="5897" width="17" style="1" customWidth="1"/>
    <col min="5898" max="5898" width="8.85546875" style="1"/>
    <col min="5899" max="5899" width="16" style="1" customWidth="1"/>
    <col min="5900" max="5900" width="16.7109375" style="1" customWidth="1"/>
    <col min="5901" max="5901" width="13.28515625" style="1" customWidth="1"/>
    <col min="5902" max="6144" width="8.85546875" style="1"/>
    <col min="6145" max="6145" width="13.7109375" style="1" customWidth="1"/>
    <col min="6146" max="6146" width="14.28515625" style="1" customWidth="1"/>
    <col min="6147" max="6147" width="27.7109375" style="1" customWidth="1"/>
    <col min="6148" max="6148" width="19.140625" style="1" customWidth="1"/>
    <col min="6149" max="6149" width="23.28515625" style="1" customWidth="1"/>
    <col min="6150" max="6150" width="20.7109375" style="1" customWidth="1"/>
    <col min="6151" max="6151" width="23.140625" style="1" customWidth="1"/>
    <col min="6152" max="6152" width="24" style="1" customWidth="1"/>
    <col min="6153" max="6153" width="17" style="1" customWidth="1"/>
    <col min="6154" max="6154" width="8.85546875" style="1"/>
    <col min="6155" max="6155" width="16" style="1" customWidth="1"/>
    <col min="6156" max="6156" width="16.7109375" style="1" customWidth="1"/>
    <col min="6157" max="6157" width="13.28515625" style="1" customWidth="1"/>
    <col min="6158" max="6400" width="8.85546875" style="1"/>
    <col min="6401" max="6401" width="13.7109375" style="1" customWidth="1"/>
    <col min="6402" max="6402" width="14.28515625" style="1" customWidth="1"/>
    <col min="6403" max="6403" width="27.7109375" style="1" customWidth="1"/>
    <col min="6404" max="6404" width="19.140625" style="1" customWidth="1"/>
    <col min="6405" max="6405" width="23.28515625" style="1" customWidth="1"/>
    <col min="6406" max="6406" width="20.7109375" style="1" customWidth="1"/>
    <col min="6407" max="6407" width="23.140625" style="1" customWidth="1"/>
    <col min="6408" max="6408" width="24" style="1" customWidth="1"/>
    <col min="6409" max="6409" width="17" style="1" customWidth="1"/>
    <col min="6410" max="6410" width="8.85546875" style="1"/>
    <col min="6411" max="6411" width="16" style="1" customWidth="1"/>
    <col min="6412" max="6412" width="16.7109375" style="1" customWidth="1"/>
    <col min="6413" max="6413" width="13.28515625" style="1" customWidth="1"/>
    <col min="6414" max="6656" width="8.85546875" style="1"/>
    <col min="6657" max="6657" width="13.7109375" style="1" customWidth="1"/>
    <col min="6658" max="6658" width="14.28515625" style="1" customWidth="1"/>
    <col min="6659" max="6659" width="27.7109375" style="1" customWidth="1"/>
    <col min="6660" max="6660" width="19.140625" style="1" customWidth="1"/>
    <col min="6661" max="6661" width="23.28515625" style="1" customWidth="1"/>
    <col min="6662" max="6662" width="20.7109375" style="1" customWidth="1"/>
    <col min="6663" max="6663" width="23.140625" style="1" customWidth="1"/>
    <col min="6664" max="6664" width="24" style="1" customWidth="1"/>
    <col min="6665" max="6665" width="17" style="1" customWidth="1"/>
    <col min="6666" max="6666" width="8.85546875" style="1"/>
    <col min="6667" max="6667" width="16" style="1" customWidth="1"/>
    <col min="6668" max="6668" width="16.7109375" style="1" customWidth="1"/>
    <col min="6669" max="6669" width="13.28515625" style="1" customWidth="1"/>
    <col min="6670" max="6912" width="8.85546875" style="1"/>
    <col min="6913" max="6913" width="13.7109375" style="1" customWidth="1"/>
    <col min="6914" max="6914" width="14.28515625" style="1" customWidth="1"/>
    <col min="6915" max="6915" width="27.7109375" style="1" customWidth="1"/>
    <col min="6916" max="6916" width="19.140625" style="1" customWidth="1"/>
    <col min="6917" max="6917" width="23.28515625" style="1" customWidth="1"/>
    <col min="6918" max="6918" width="20.7109375" style="1" customWidth="1"/>
    <col min="6919" max="6919" width="23.140625" style="1" customWidth="1"/>
    <col min="6920" max="6920" width="24" style="1" customWidth="1"/>
    <col min="6921" max="6921" width="17" style="1" customWidth="1"/>
    <col min="6922" max="6922" width="8.85546875" style="1"/>
    <col min="6923" max="6923" width="16" style="1" customWidth="1"/>
    <col min="6924" max="6924" width="16.7109375" style="1" customWidth="1"/>
    <col min="6925" max="6925" width="13.28515625" style="1" customWidth="1"/>
    <col min="6926" max="7168" width="8.85546875" style="1"/>
    <col min="7169" max="7169" width="13.7109375" style="1" customWidth="1"/>
    <col min="7170" max="7170" width="14.28515625" style="1" customWidth="1"/>
    <col min="7171" max="7171" width="27.7109375" style="1" customWidth="1"/>
    <col min="7172" max="7172" width="19.140625" style="1" customWidth="1"/>
    <col min="7173" max="7173" width="23.28515625" style="1" customWidth="1"/>
    <col min="7174" max="7174" width="20.7109375" style="1" customWidth="1"/>
    <col min="7175" max="7175" width="23.140625" style="1" customWidth="1"/>
    <col min="7176" max="7176" width="24" style="1" customWidth="1"/>
    <col min="7177" max="7177" width="17" style="1" customWidth="1"/>
    <col min="7178" max="7178" width="8.85546875" style="1"/>
    <col min="7179" max="7179" width="16" style="1" customWidth="1"/>
    <col min="7180" max="7180" width="16.7109375" style="1" customWidth="1"/>
    <col min="7181" max="7181" width="13.28515625" style="1" customWidth="1"/>
    <col min="7182" max="7424" width="8.85546875" style="1"/>
    <col min="7425" max="7425" width="13.7109375" style="1" customWidth="1"/>
    <col min="7426" max="7426" width="14.28515625" style="1" customWidth="1"/>
    <col min="7427" max="7427" width="27.7109375" style="1" customWidth="1"/>
    <col min="7428" max="7428" width="19.140625" style="1" customWidth="1"/>
    <col min="7429" max="7429" width="23.28515625" style="1" customWidth="1"/>
    <col min="7430" max="7430" width="20.7109375" style="1" customWidth="1"/>
    <col min="7431" max="7431" width="23.140625" style="1" customWidth="1"/>
    <col min="7432" max="7432" width="24" style="1" customWidth="1"/>
    <col min="7433" max="7433" width="17" style="1" customWidth="1"/>
    <col min="7434" max="7434" width="8.85546875" style="1"/>
    <col min="7435" max="7435" width="16" style="1" customWidth="1"/>
    <col min="7436" max="7436" width="16.7109375" style="1" customWidth="1"/>
    <col min="7437" max="7437" width="13.28515625" style="1" customWidth="1"/>
    <col min="7438" max="7680" width="8.85546875" style="1"/>
    <col min="7681" max="7681" width="13.7109375" style="1" customWidth="1"/>
    <col min="7682" max="7682" width="14.28515625" style="1" customWidth="1"/>
    <col min="7683" max="7683" width="27.7109375" style="1" customWidth="1"/>
    <col min="7684" max="7684" width="19.140625" style="1" customWidth="1"/>
    <col min="7685" max="7685" width="23.28515625" style="1" customWidth="1"/>
    <col min="7686" max="7686" width="20.7109375" style="1" customWidth="1"/>
    <col min="7687" max="7687" width="23.140625" style="1" customWidth="1"/>
    <col min="7688" max="7688" width="24" style="1" customWidth="1"/>
    <col min="7689" max="7689" width="17" style="1" customWidth="1"/>
    <col min="7690" max="7690" width="8.85546875" style="1"/>
    <col min="7691" max="7691" width="16" style="1" customWidth="1"/>
    <col min="7692" max="7692" width="16.7109375" style="1" customWidth="1"/>
    <col min="7693" max="7693" width="13.28515625" style="1" customWidth="1"/>
    <col min="7694" max="7936" width="8.85546875" style="1"/>
    <col min="7937" max="7937" width="13.7109375" style="1" customWidth="1"/>
    <col min="7938" max="7938" width="14.28515625" style="1" customWidth="1"/>
    <col min="7939" max="7939" width="27.7109375" style="1" customWidth="1"/>
    <col min="7940" max="7940" width="19.140625" style="1" customWidth="1"/>
    <col min="7941" max="7941" width="23.28515625" style="1" customWidth="1"/>
    <col min="7942" max="7942" width="20.7109375" style="1" customWidth="1"/>
    <col min="7943" max="7943" width="23.140625" style="1" customWidth="1"/>
    <col min="7944" max="7944" width="24" style="1" customWidth="1"/>
    <col min="7945" max="7945" width="17" style="1" customWidth="1"/>
    <col min="7946" max="7946" width="8.85546875" style="1"/>
    <col min="7947" max="7947" width="16" style="1" customWidth="1"/>
    <col min="7948" max="7948" width="16.7109375" style="1" customWidth="1"/>
    <col min="7949" max="7949" width="13.28515625" style="1" customWidth="1"/>
    <col min="7950" max="8192" width="8.85546875" style="1"/>
    <col min="8193" max="8193" width="13.7109375" style="1" customWidth="1"/>
    <col min="8194" max="8194" width="14.28515625" style="1" customWidth="1"/>
    <col min="8195" max="8195" width="27.7109375" style="1" customWidth="1"/>
    <col min="8196" max="8196" width="19.140625" style="1" customWidth="1"/>
    <col min="8197" max="8197" width="23.28515625" style="1" customWidth="1"/>
    <col min="8198" max="8198" width="20.7109375" style="1" customWidth="1"/>
    <col min="8199" max="8199" width="23.140625" style="1" customWidth="1"/>
    <col min="8200" max="8200" width="24" style="1" customWidth="1"/>
    <col min="8201" max="8201" width="17" style="1" customWidth="1"/>
    <col min="8202" max="8202" width="8.85546875" style="1"/>
    <col min="8203" max="8203" width="16" style="1" customWidth="1"/>
    <col min="8204" max="8204" width="16.7109375" style="1" customWidth="1"/>
    <col min="8205" max="8205" width="13.28515625" style="1" customWidth="1"/>
    <col min="8206" max="8448" width="8.85546875" style="1"/>
    <col min="8449" max="8449" width="13.7109375" style="1" customWidth="1"/>
    <col min="8450" max="8450" width="14.28515625" style="1" customWidth="1"/>
    <col min="8451" max="8451" width="27.7109375" style="1" customWidth="1"/>
    <col min="8452" max="8452" width="19.140625" style="1" customWidth="1"/>
    <col min="8453" max="8453" width="23.28515625" style="1" customWidth="1"/>
    <col min="8454" max="8454" width="20.7109375" style="1" customWidth="1"/>
    <col min="8455" max="8455" width="23.140625" style="1" customWidth="1"/>
    <col min="8456" max="8456" width="24" style="1" customWidth="1"/>
    <col min="8457" max="8457" width="17" style="1" customWidth="1"/>
    <col min="8458" max="8458" width="8.85546875" style="1"/>
    <col min="8459" max="8459" width="16" style="1" customWidth="1"/>
    <col min="8460" max="8460" width="16.7109375" style="1" customWidth="1"/>
    <col min="8461" max="8461" width="13.28515625" style="1" customWidth="1"/>
    <col min="8462" max="8704" width="8.85546875" style="1"/>
    <col min="8705" max="8705" width="13.7109375" style="1" customWidth="1"/>
    <col min="8706" max="8706" width="14.28515625" style="1" customWidth="1"/>
    <col min="8707" max="8707" width="27.7109375" style="1" customWidth="1"/>
    <col min="8708" max="8708" width="19.140625" style="1" customWidth="1"/>
    <col min="8709" max="8709" width="23.28515625" style="1" customWidth="1"/>
    <col min="8710" max="8710" width="20.7109375" style="1" customWidth="1"/>
    <col min="8711" max="8711" width="23.140625" style="1" customWidth="1"/>
    <col min="8712" max="8712" width="24" style="1" customWidth="1"/>
    <col min="8713" max="8713" width="17" style="1" customWidth="1"/>
    <col min="8714" max="8714" width="8.85546875" style="1"/>
    <col min="8715" max="8715" width="16" style="1" customWidth="1"/>
    <col min="8716" max="8716" width="16.7109375" style="1" customWidth="1"/>
    <col min="8717" max="8717" width="13.28515625" style="1" customWidth="1"/>
    <col min="8718" max="8960" width="8.85546875" style="1"/>
    <col min="8961" max="8961" width="13.7109375" style="1" customWidth="1"/>
    <col min="8962" max="8962" width="14.28515625" style="1" customWidth="1"/>
    <col min="8963" max="8963" width="27.7109375" style="1" customWidth="1"/>
    <col min="8964" max="8964" width="19.140625" style="1" customWidth="1"/>
    <col min="8965" max="8965" width="23.28515625" style="1" customWidth="1"/>
    <col min="8966" max="8966" width="20.7109375" style="1" customWidth="1"/>
    <col min="8967" max="8967" width="23.140625" style="1" customWidth="1"/>
    <col min="8968" max="8968" width="24" style="1" customWidth="1"/>
    <col min="8969" max="8969" width="17" style="1" customWidth="1"/>
    <col min="8970" max="8970" width="8.85546875" style="1"/>
    <col min="8971" max="8971" width="16" style="1" customWidth="1"/>
    <col min="8972" max="8972" width="16.7109375" style="1" customWidth="1"/>
    <col min="8973" max="8973" width="13.28515625" style="1" customWidth="1"/>
    <col min="8974" max="9216" width="8.85546875" style="1"/>
    <col min="9217" max="9217" width="13.7109375" style="1" customWidth="1"/>
    <col min="9218" max="9218" width="14.28515625" style="1" customWidth="1"/>
    <col min="9219" max="9219" width="27.7109375" style="1" customWidth="1"/>
    <col min="9220" max="9220" width="19.140625" style="1" customWidth="1"/>
    <col min="9221" max="9221" width="23.28515625" style="1" customWidth="1"/>
    <col min="9222" max="9222" width="20.7109375" style="1" customWidth="1"/>
    <col min="9223" max="9223" width="23.140625" style="1" customWidth="1"/>
    <col min="9224" max="9224" width="24" style="1" customWidth="1"/>
    <col min="9225" max="9225" width="17" style="1" customWidth="1"/>
    <col min="9226" max="9226" width="8.85546875" style="1"/>
    <col min="9227" max="9227" width="16" style="1" customWidth="1"/>
    <col min="9228" max="9228" width="16.7109375" style="1" customWidth="1"/>
    <col min="9229" max="9229" width="13.28515625" style="1" customWidth="1"/>
    <col min="9230" max="9472" width="8.85546875" style="1"/>
    <col min="9473" max="9473" width="13.7109375" style="1" customWidth="1"/>
    <col min="9474" max="9474" width="14.28515625" style="1" customWidth="1"/>
    <col min="9475" max="9475" width="27.7109375" style="1" customWidth="1"/>
    <col min="9476" max="9476" width="19.140625" style="1" customWidth="1"/>
    <col min="9477" max="9477" width="23.28515625" style="1" customWidth="1"/>
    <col min="9478" max="9478" width="20.7109375" style="1" customWidth="1"/>
    <col min="9479" max="9479" width="23.140625" style="1" customWidth="1"/>
    <col min="9480" max="9480" width="24" style="1" customWidth="1"/>
    <col min="9481" max="9481" width="17" style="1" customWidth="1"/>
    <col min="9482" max="9482" width="8.85546875" style="1"/>
    <col min="9483" max="9483" width="16" style="1" customWidth="1"/>
    <col min="9484" max="9484" width="16.7109375" style="1" customWidth="1"/>
    <col min="9485" max="9485" width="13.28515625" style="1" customWidth="1"/>
    <col min="9486" max="9728" width="8.85546875" style="1"/>
    <col min="9729" max="9729" width="13.7109375" style="1" customWidth="1"/>
    <col min="9730" max="9730" width="14.28515625" style="1" customWidth="1"/>
    <col min="9731" max="9731" width="27.7109375" style="1" customWidth="1"/>
    <col min="9732" max="9732" width="19.140625" style="1" customWidth="1"/>
    <col min="9733" max="9733" width="23.28515625" style="1" customWidth="1"/>
    <col min="9734" max="9734" width="20.7109375" style="1" customWidth="1"/>
    <col min="9735" max="9735" width="23.140625" style="1" customWidth="1"/>
    <col min="9736" max="9736" width="24" style="1" customWidth="1"/>
    <col min="9737" max="9737" width="17" style="1" customWidth="1"/>
    <col min="9738" max="9738" width="8.85546875" style="1"/>
    <col min="9739" max="9739" width="16" style="1" customWidth="1"/>
    <col min="9740" max="9740" width="16.7109375" style="1" customWidth="1"/>
    <col min="9741" max="9741" width="13.28515625" style="1" customWidth="1"/>
    <col min="9742" max="9984" width="8.85546875" style="1"/>
    <col min="9985" max="9985" width="13.7109375" style="1" customWidth="1"/>
    <col min="9986" max="9986" width="14.28515625" style="1" customWidth="1"/>
    <col min="9987" max="9987" width="27.7109375" style="1" customWidth="1"/>
    <col min="9988" max="9988" width="19.140625" style="1" customWidth="1"/>
    <col min="9989" max="9989" width="23.28515625" style="1" customWidth="1"/>
    <col min="9990" max="9990" width="20.7109375" style="1" customWidth="1"/>
    <col min="9991" max="9991" width="23.140625" style="1" customWidth="1"/>
    <col min="9992" max="9992" width="24" style="1" customWidth="1"/>
    <col min="9993" max="9993" width="17" style="1" customWidth="1"/>
    <col min="9994" max="9994" width="8.85546875" style="1"/>
    <col min="9995" max="9995" width="16" style="1" customWidth="1"/>
    <col min="9996" max="9996" width="16.7109375" style="1" customWidth="1"/>
    <col min="9997" max="9997" width="13.28515625" style="1" customWidth="1"/>
    <col min="9998" max="10240" width="8.85546875" style="1"/>
    <col min="10241" max="10241" width="13.7109375" style="1" customWidth="1"/>
    <col min="10242" max="10242" width="14.28515625" style="1" customWidth="1"/>
    <col min="10243" max="10243" width="27.7109375" style="1" customWidth="1"/>
    <col min="10244" max="10244" width="19.140625" style="1" customWidth="1"/>
    <col min="10245" max="10245" width="23.28515625" style="1" customWidth="1"/>
    <col min="10246" max="10246" width="20.7109375" style="1" customWidth="1"/>
    <col min="10247" max="10247" width="23.140625" style="1" customWidth="1"/>
    <col min="10248" max="10248" width="24" style="1" customWidth="1"/>
    <col min="10249" max="10249" width="17" style="1" customWidth="1"/>
    <col min="10250" max="10250" width="8.85546875" style="1"/>
    <col min="10251" max="10251" width="16" style="1" customWidth="1"/>
    <col min="10252" max="10252" width="16.7109375" style="1" customWidth="1"/>
    <col min="10253" max="10253" width="13.28515625" style="1" customWidth="1"/>
    <col min="10254" max="10496" width="8.85546875" style="1"/>
    <col min="10497" max="10497" width="13.7109375" style="1" customWidth="1"/>
    <col min="10498" max="10498" width="14.28515625" style="1" customWidth="1"/>
    <col min="10499" max="10499" width="27.7109375" style="1" customWidth="1"/>
    <col min="10500" max="10500" width="19.140625" style="1" customWidth="1"/>
    <col min="10501" max="10501" width="23.28515625" style="1" customWidth="1"/>
    <col min="10502" max="10502" width="20.7109375" style="1" customWidth="1"/>
    <col min="10503" max="10503" width="23.140625" style="1" customWidth="1"/>
    <col min="10504" max="10504" width="24" style="1" customWidth="1"/>
    <col min="10505" max="10505" width="17" style="1" customWidth="1"/>
    <col min="10506" max="10506" width="8.85546875" style="1"/>
    <col min="10507" max="10507" width="16" style="1" customWidth="1"/>
    <col min="10508" max="10508" width="16.7109375" style="1" customWidth="1"/>
    <col min="10509" max="10509" width="13.28515625" style="1" customWidth="1"/>
    <col min="10510" max="10752" width="8.85546875" style="1"/>
    <col min="10753" max="10753" width="13.7109375" style="1" customWidth="1"/>
    <col min="10754" max="10754" width="14.28515625" style="1" customWidth="1"/>
    <col min="10755" max="10755" width="27.7109375" style="1" customWidth="1"/>
    <col min="10756" max="10756" width="19.140625" style="1" customWidth="1"/>
    <col min="10757" max="10757" width="23.28515625" style="1" customWidth="1"/>
    <col min="10758" max="10758" width="20.7109375" style="1" customWidth="1"/>
    <col min="10759" max="10759" width="23.140625" style="1" customWidth="1"/>
    <col min="10760" max="10760" width="24" style="1" customWidth="1"/>
    <col min="10761" max="10761" width="17" style="1" customWidth="1"/>
    <col min="10762" max="10762" width="8.85546875" style="1"/>
    <col min="10763" max="10763" width="16" style="1" customWidth="1"/>
    <col min="10764" max="10764" width="16.7109375" style="1" customWidth="1"/>
    <col min="10765" max="10765" width="13.28515625" style="1" customWidth="1"/>
    <col min="10766" max="11008" width="8.85546875" style="1"/>
    <col min="11009" max="11009" width="13.7109375" style="1" customWidth="1"/>
    <col min="11010" max="11010" width="14.28515625" style="1" customWidth="1"/>
    <col min="11011" max="11011" width="27.7109375" style="1" customWidth="1"/>
    <col min="11012" max="11012" width="19.140625" style="1" customWidth="1"/>
    <col min="11013" max="11013" width="23.28515625" style="1" customWidth="1"/>
    <col min="11014" max="11014" width="20.7109375" style="1" customWidth="1"/>
    <col min="11015" max="11015" width="23.140625" style="1" customWidth="1"/>
    <col min="11016" max="11016" width="24" style="1" customWidth="1"/>
    <col min="11017" max="11017" width="17" style="1" customWidth="1"/>
    <col min="11018" max="11018" width="8.85546875" style="1"/>
    <col min="11019" max="11019" width="16" style="1" customWidth="1"/>
    <col min="11020" max="11020" width="16.7109375" style="1" customWidth="1"/>
    <col min="11021" max="11021" width="13.28515625" style="1" customWidth="1"/>
    <col min="11022" max="11264" width="8.85546875" style="1"/>
    <col min="11265" max="11265" width="13.7109375" style="1" customWidth="1"/>
    <col min="11266" max="11266" width="14.28515625" style="1" customWidth="1"/>
    <col min="11267" max="11267" width="27.7109375" style="1" customWidth="1"/>
    <col min="11268" max="11268" width="19.140625" style="1" customWidth="1"/>
    <col min="11269" max="11269" width="23.28515625" style="1" customWidth="1"/>
    <col min="11270" max="11270" width="20.7109375" style="1" customWidth="1"/>
    <col min="11271" max="11271" width="23.140625" style="1" customWidth="1"/>
    <col min="11272" max="11272" width="24" style="1" customWidth="1"/>
    <col min="11273" max="11273" width="17" style="1" customWidth="1"/>
    <col min="11274" max="11274" width="8.85546875" style="1"/>
    <col min="11275" max="11275" width="16" style="1" customWidth="1"/>
    <col min="11276" max="11276" width="16.7109375" style="1" customWidth="1"/>
    <col min="11277" max="11277" width="13.28515625" style="1" customWidth="1"/>
    <col min="11278" max="11520" width="8.85546875" style="1"/>
    <col min="11521" max="11521" width="13.7109375" style="1" customWidth="1"/>
    <col min="11522" max="11522" width="14.28515625" style="1" customWidth="1"/>
    <col min="11523" max="11523" width="27.7109375" style="1" customWidth="1"/>
    <col min="11524" max="11524" width="19.140625" style="1" customWidth="1"/>
    <col min="11525" max="11525" width="23.28515625" style="1" customWidth="1"/>
    <col min="11526" max="11526" width="20.7109375" style="1" customWidth="1"/>
    <col min="11527" max="11527" width="23.140625" style="1" customWidth="1"/>
    <col min="11528" max="11528" width="24" style="1" customWidth="1"/>
    <col min="11529" max="11529" width="17" style="1" customWidth="1"/>
    <col min="11530" max="11530" width="8.85546875" style="1"/>
    <col min="11531" max="11531" width="16" style="1" customWidth="1"/>
    <col min="11532" max="11532" width="16.7109375" style="1" customWidth="1"/>
    <col min="11533" max="11533" width="13.28515625" style="1" customWidth="1"/>
    <col min="11534" max="11776" width="8.85546875" style="1"/>
    <col min="11777" max="11777" width="13.7109375" style="1" customWidth="1"/>
    <col min="11778" max="11778" width="14.28515625" style="1" customWidth="1"/>
    <col min="11779" max="11779" width="27.7109375" style="1" customWidth="1"/>
    <col min="11780" max="11780" width="19.140625" style="1" customWidth="1"/>
    <col min="11781" max="11781" width="23.28515625" style="1" customWidth="1"/>
    <col min="11782" max="11782" width="20.7109375" style="1" customWidth="1"/>
    <col min="11783" max="11783" width="23.140625" style="1" customWidth="1"/>
    <col min="11784" max="11784" width="24" style="1" customWidth="1"/>
    <col min="11785" max="11785" width="17" style="1" customWidth="1"/>
    <col min="11786" max="11786" width="8.85546875" style="1"/>
    <col min="11787" max="11787" width="16" style="1" customWidth="1"/>
    <col min="11788" max="11788" width="16.7109375" style="1" customWidth="1"/>
    <col min="11789" max="11789" width="13.28515625" style="1" customWidth="1"/>
    <col min="11790" max="12032" width="8.85546875" style="1"/>
    <col min="12033" max="12033" width="13.7109375" style="1" customWidth="1"/>
    <col min="12034" max="12034" width="14.28515625" style="1" customWidth="1"/>
    <col min="12035" max="12035" width="27.7109375" style="1" customWidth="1"/>
    <col min="12036" max="12036" width="19.140625" style="1" customWidth="1"/>
    <col min="12037" max="12037" width="23.28515625" style="1" customWidth="1"/>
    <col min="12038" max="12038" width="20.7109375" style="1" customWidth="1"/>
    <col min="12039" max="12039" width="23.140625" style="1" customWidth="1"/>
    <col min="12040" max="12040" width="24" style="1" customWidth="1"/>
    <col min="12041" max="12041" width="17" style="1" customWidth="1"/>
    <col min="12042" max="12042" width="8.85546875" style="1"/>
    <col min="12043" max="12043" width="16" style="1" customWidth="1"/>
    <col min="12044" max="12044" width="16.7109375" style="1" customWidth="1"/>
    <col min="12045" max="12045" width="13.28515625" style="1" customWidth="1"/>
    <col min="12046" max="12288" width="8.85546875" style="1"/>
    <col min="12289" max="12289" width="13.7109375" style="1" customWidth="1"/>
    <col min="12290" max="12290" width="14.28515625" style="1" customWidth="1"/>
    <col min="12291" max="12291" width="27.7109375" style="1" customWidth="1"/>
    <col min="12292" max="12292" width="19.140625" style="1" customWidth="1"/>
    <col min="12293" max="12293" width="23.28515625" style="1" customWidth="1"/>
    <col min="12294" max="12294" width="20.7109375" style="1" customWidth="1"/>
    <col min="12295" max="12295" width="23.140625" style="1" customWidth="1"/>
    <col min="12296" max="12296" width="24" style="1" customWidth="1"/>
    <col min="12297" max="12297" width="17" style="1" customWidth="1"/>
    <col min="12298" max="12298" width="8.85546875" style="1"/>
    <col min="12299" max="12299" width="16" style="1" customWidth="1"/>
    <col min="12300" max="12300" width="16.7109375" style="1" customWidth="1"/>
    <col min="12301" max="12301" width="13.28515625" style="1" customWidth="1"/>
    <col min="12302" max="12544" width="8.85546875" style="1"/>
    <col min="12545" max="12545" width="13.7109375" style="1" customWidth="1"/>
    <col min="12546" max="12546" width="14.28515625" style="1" customWidth="1"/>
    <col min="12547" max="12547" width="27.7109375" style="1" customWidth="1"/>
    <col min="12548" max="12548" width="19.140625" style="1" customWidth="1"/>
    <col min="12549" max="12549" width="23.28515625" style="1" customWidth="1"/>
    <col min="12550" max="12550" width="20.7109375" style="1" customWidth="1"/>
    <col min="12551" max="12551" width="23.140625" style="1" customWidth="1"/>
    <col min="12552" max="12552" width="24" style="1" customWidth="1"/>
    <col min="12553" max="12553" width="17" style="1" customWidth="1"/>
    <col min="12554" max="12554" width="8.85546875" style="1"/>
    <col min="12555" max="12555" width="16" style="1" customWidth="1"/>
    <col min="12556" max="12556" width="16.7109375" style="1" customWidth="1"/>
    <col min="12557" max="12557" width="13.28515625" style="1" customWidth="1"/>
    <col min="12558" max="12800" width="8.85546875" style="1"/>
    <col min="12801" max="12801" width="13.7109375" style="1" customWidth="1"/>
    <col min="12802" max="12802" width="14.28515625" style="1" customWidth="1"/>
    <col min="12803" max="12803" width="27.7109375" style="1" customWidth="1"/>
    <col min="12804" max="12804" width="19.140625" style="1" customWidth="1"/>
    <col min="12805" max="12805" width="23.28515625" style="1" customWidth="1"/>
    <col min="12806" max="12806" width="20.7109375" style="1" customWidth="1"/>
    <col min="12807" max="12807" width="23.140625" style="1" customWidth="1"/>
    <col min="12808" max="12808" width="24" style="1" customWidth="1"/>
    <col min="12809" max="12809" width="17" style="1" customWidth="1"/>
    <col min="12810" max="12810" width="8.85546875" style="1"/>
    <col min="12811" max="12811" width="16" style="1" customWidth="1"/>
    <col min="12812" max="12812" width="16.7109375" style="1" customWidth="1"/>
    <col min="12813" max="12813" width="13.28515625" style="1" customWidth="1"/>
    <col min="12814" max="13056" width="8.85546875" style="1"/>
    <col min="13057" max="13057" width="13.7109375" style="1" customWidth="1"/>
    <col min="13058" max="13058" width="14.28515625" style="1" customWidth="1"/>
    <col min="13059" max="13059" width="27.7109375" style="1" customWidth="1"/>
    <col min="13060" max="13060" width="19.140625" style="1" customWidth="1"/>
    <col min="13061" max="13061" width="23.28515625" style="1" customWidth="1"/>
    <col min="13062" max="13062" width="20.7109375" style="1" customWidth="1"/>
    <col min="13063" max="13063" width="23.140625" style="1" customWidth="1"/>
    <col min="13064" max="13064" width="24" style="1" customWidth="1"/>
    <col min="13065" max="13065" width="17" style="1" customWidth="1"/>
    <col min="13066" max="13066" width="8.85546875" style="1"/>
    <col min="13067" max="13067" width="16" style="1" customWidth="1"/>
    <col min="13068" max="13068" width="16.7109375" style="1" customWidth="1"/>
    <col min="13069" max="13069" width="13.28515625" style="1" customWidth="1"/>
    <col min="13070" max="13312" width="8.85546875" style="1"/>
    <col min="13313" max="13313" width="13.7109375" style="1" customWidth="1"/>
    <col min="13314" max="13314" width="14.28515625" style="1" customWidth="1"/>
    <col min="13315" max="13315" width="27.7109375" style="1" customWidth="1"/>
    <col min="13316" max="13316" width="19.140625" style="1" customWidth="1"/>
    <col min="13317" max="13317" width="23.28515625" style="1" customWidth="1"/>
    <col min="13318" max="13318" width="20.7109375" style="1" customWidth="1"/>
    <col min="13319" max="13319" width="23.140625" style="1" customWidth="1"/>
    <col min="13320" max="13320" width="24" style="1" customWidth="1"/>
    <col min="13321" max="13321" width="17" style="1" customWidth="1"/>
    <col min="13322" max="13322" width="8.85546875" style="1"/>
    <col min="13323" max="13323" width="16" style="1" customWidth="1"/>
    <col min="13324" max="13324" width="16.7109375" style="1" customWidth="1"/>
    <col min="13325" max="13325" width="13.28515625" style="1" customWidth="1"/>
    <col min="13326" max="13568" width="8.85546875" style="1"/>
    <col min="13569" max="13569" width="13.7109375" style="1" customWidth="1"/>
    <col min="13570" max="13570" width="14.28515625" style="1" customWidth="1"/>
    <col min="13571" max="13571" width="27.7109375" style="1" customWidth="1"/>
    <col min="13572" max="13572" width="19.140625" style="1" customWidth="1"/>
    <col min="13573" max="13573" width="23.28515625" style="1" customWidth="1"/>
    <col min="13574" max="13574" width="20.7109375" style="1" customWidth="1"/>
    <col min="13575" max="13575" width="23.140625" style="1" customWidth="1"/>
    <col min="13576" max="13576" width="24" style="1" customWidth="1"/>
    <col min="13577" max="13577" width="17" style="1" customWidth="1"/>
    <col min="13578" max="13578" width="8.85546875" style="1"/>
    <col min="13579" max="13579" width="16" style="1" customWidth="1"/>
    <col min="13580" max="13580" width="16.7109375" style="1" customWidth="1"/>
    <col min="13581" max="13581" width="13.28515625" style="1" customWidth="1"/>
    <col min="13582" max="13824" width="8.85546875" style="1"/>
    <col min="13825" max="13825" width="13.7109375" style="1" customWidth="1"/>
    <col min="13826" max="13826" width="14.28515625" style="1" customWidth="1"/>
    <col min="13827" max="13827" width="27.7109375" style="1" customWidth="1"/>
    <col min="13828" max="13828" width="19.140625" style="1" customWidth="1"/>
    <col min="13829" max="13829" width="23.28515625" style="1" customWidth="1"/>
    <col min="13830" max="13830" width="20.7109375" style="1" customWidth="1"/>
    <col min="13831" max="13831" width="23.140625" style="1" customWidth="1"/>
    <col min="13832" max="13832" width="24" style="1" customWidth="1"/>
    <col min="13833" max="13833" width="17" style="1" customWidth="1"/>
    <col min="13834" max="13834" width="8.85546875" style="1"/>
    <col min="13835" max="13835" width="16" style="1" customWidth="1"/>
    <col min="13836" max="13836" width="16.7109375" style="1" customWidth="1"/>
    <col min="13837" max="13837" width="13.28515625" style="1" customWidth="1"/>
    <col min="13838" max="14080" width="8.85546875" style="1"/>
    <col min="14081" max="14081" width="13.7109375" style="1" customWidth="1"/>
    <col min="14082" max="14082" width="14.28515625" style="1" customWidth="1"/>
    <col min="14083" max="14083" width="27.7109375" style="1" customWidth="1"/>
    <col min="14084" max="14084" width="19.140625" style="1" customWidth="1"/>
    <col min="14085" max="14085" width="23.28515625" style="1" customWidth="1"/>
    <col min="14086" max="14086" width="20.7109375" style="1" customWidth="1"/>
    <col min="14087" max="14087" width="23.140625" style="1" customWidth="1"/>
    <col min="14088" max="14088" width="24" style="1" customWidth="1"/>
    <col min="14089" max="14089" width="17" style="1" customWidth="1"/>
    <col min="14090" max="14090" width="8.85546875" style="1"/>
    <col min="14091" max="14091" width="16" style="1" customWidth="1"/>
    <col min="14092" max="14092" width="16.7109375" style="1" customWidth="1"/>
    <col min="14093" max="14093" width="13.28515625" style="1" customWidth="1"/>
    <col min="14094" max="14336" width="8.85546875" style="1"/>
    <col min="14337" max="14337" width="13.7109375" style="1" customWidth="1"/>
    <col min="14338" max="14338" width="14.28515625" style="1" customWidth="1"/>
    <col min="14339" max="14339" width="27.7109375" style="1" customWidth="1"/>
    <col min="14340" max="14340" width="19.140625" style="1" customWidth="1"/>
    <col min="14341" max="14341" width="23.28515625" style="1" customWidth="1"/>
    <col min="14342" max="14342" width="20.7109375" style="1" customWidth="1"/>
    <col min="14343" max="14343" width="23.140625" style="1" customWidth="1"/>
    <col min="14344" max="14344" width="24" style="1" customWidth="1"/>
    <col min="14345" max="14345" width="17" style="1" customWidth="1"/>
    <col min="14346" max="14346" width="8.85546875" style="1"/>
    <col min="14347" max="14347" width="16" style="1" customWidth="1"/>
    <col min="14348" max="14348" width="16.7109375" style="1" customWidth="1"/>
    <col min="14349" max="14349" width="13.28515625" style="1" customWidth="1"/>
    <col min="14350" max="14592" width="8.85546875" style="1"/>
    <col min="14593" max="14593" width="13.7109375" style="1" customWidth="1"/>
    <col min="14594" max="14594" width="14.28515625" style="1" customWidth="1"/>
    <col min="14595" max="14595" width="27.7109375" style="1" customWidth="1"/>
    <col min="14596" max="14596" width="19.140625" style="1" customWidth="1"/>
    <col min="14597" max="14597" width="23.28515625" style="1" customWidth="1"/>
    <col min="14598" max="14598" width="20.7109375" style="1" customWidth="1"/>
    <col min="14599" max="14599" width="23.140625" style="1" customWidth="1"/>
    <col min="14600" max="14600" width="24" style="1" customWidth="1"/>
    <col min="14601" max="14601" width="17" style="1" customWidth="1"/>
    <col min="14602" max="14602" width="8.85546875" style="1"/>
    <col min="14603" max="14603" width="16" style="1" customWidth="1"/>
    <col min="14604" max="14604" width="16.7109375" style="1" customWidth="1"/>
    <col min="14605" max="14605" width="13.28515625" style="1" customWidth="1"/>
    <col min="14606" max="14848" width="8.85546875" style="1"/>
    <col min="14849" max="14849" width="13.7109375" style="1" customWidth="1"/>
    <col min="14850" max="14850" width="14.28515625" style="1" customWidth="1"/>
    <col min="14851" max="14851" width="27.7109375" style="1" customWidth="1"/>
    <col min="14852" max="14852" width="19.140625" style="1" customWidth="1"/>
    <col min="14853" max="14853" width="23.28515625" style="1" customWidth="1"/>
    <col min="14854" max="14854" width="20.7109375" style="1" customWidth="1"/>
    <col min="14855" max="14855" width="23.140625" style="1" customWidth="1"/>
    <col min="14856" max="14856" width="24" style="1" customWidth="1"/>
    <col min="14857" max="14857" width="17" style="1" customWidth="1"/>
    <col min="14858" max="14858" width="8.85546875" style="1"/>
    <col min="14859" max="14859" width="16" style="1" customWidth="1"/>
    <col min="14860" max="14860" width="16.7109375" style="1" customWidth="1"/>
    <col min="14861" max="14861" width="13.28515625" style="1" customWidth="1"/>
    <col min="14862" max="15104" width="8.85546875" style="1"/>
    <col min="15105" max="15105" width="13.7109375" style="1" customWidth="1"/>
    <col min="15106" max="15106" width="14.28515625" style="1" customWidth="1"/>
    <col min="15107" max="15107" width="27.7109375" style="1" customWidth="1"/>
    <col min="15108" max="15108" width="19.140625" style="1" customWidth="1"/>
    <col min="15109" max="15109" width="23.28515625" style="1" customWidth="1"/>
    <col min="15110" max="15110" width="20.7109375" style="1" customWidth="1"/>
    <col min="15111" max="15111" width="23.140625" style="1" customWidth="1"/>
    <col min="15112" max="15112" width="24" style="1" customWidth="1"/>
    <col min="15113" max="15113" width="17" style="1" customWidth="1"/>
    <col min="15114" max="15114" width="8.85546875" style="1"/>
    <col min="15115" max="15115" width="16" style="1" customWidth="1"/>
    <col min="15116" max="15116" width="16.7109375" style="1" customWidth="1"/>
    <col min="15117" max="15117" width="13.28515625" style="1" customWidth="1"/>
    <col min="15118" max="15360" width="8.85546875" style="1"/>
    <col min="15361" max="15361" width="13.7109375" style="1" customWidth="1"/>
    <col min="15362" max="15362" width="14.28515625" style="1" customWidth="1"/>
    <col min="15363" max="15363" width="27.7109375" style="1" customWidth="1"/>
    <col min="15364" max="15364" width="19.140625" style="1" customWidth="1"/>
    <col min="15365" max="15365" width="23.28515625" style="1" customWidth="1"/>
    <col min="15366" max="15366" width="20.7109375" style="1" customWidth="1"/>
    <col min="15367" max="15367" width="23.140625" style="1" customWidth="1"/>
    <col min="15368" max="15368" width="24" style="1" customWidth="1"/>
    <col min="15369" max="15369" width="17" style="1" customWidth="1"/>
    <col min="15370" max="15370" width="8.85546875" style="1"/>
    <col min="15371" max="15371" width="16" style="1" customWidth="1"/>
    <col min="15372" max="15372" width="16.7109375" style="1" customWidth="1"/>
    <col min="15373" max="15373" width="13.28515625" style="1" customWidth="1"/>
    <col min="15374" max="15616" width="8.85546875" style="1"/>
    <col min="15617" max="15617" width="13.7109375" style="1" customWidth="1"/>
    <col min="15618" max="15618" width="14.28515625" style="1" customWidth="1"/>
    <col min="15619" max="15619" width="27.7109375" style="1" customWidth="1"/>
    <col min="15620" max="15620" width="19.140625" style="1" customWidth="1"/>
    <col min="15621" max="15621" width="23.28515625" style="1" customWidth="1"/>
    <col min="15622" max="15622" width="20.7109375" style="1" customWidth="1"/>
    <col min="15623" max="15623" width="23.140625" style="1" customWidth="1"/>
    <col min="15624" max="15624" width="24" style="1" customWidth="1"/>
    <col min="15625" max="15625" width="17" style="1" customWidth="1"/>
    <col min="15626" max="15626" width="8.85546875" style="1"/>
    <col min="15627" max="15627" width="16" style="1" customWidth="1"/>
    <col min="15628" max="15628" width="16.7109375" style="1" customWidth="1"/>
    <col min="15629" max="15629" width="13.28515625" style="1" customWidth="1"/>
    <col min="15630" max="15872" width="8.85546875" style="1"/>
    <col min="15873" max="15873" width="13.7109375" style="1" customWidth="1"/>
    <col min="15874" max="15874" width="14.28515625" style="1" customWidth="1"/>
    <col min="15875" max="15875" width="27.7109375" style="1" customWidth="1"/>
    <col min="15876" max="15876" width="19.140625" style="1" customWidth="1"/>
    <col min="15877" max="15877" width="23.28515625" style="1" customWidth="1"/>
    <col min="15878" max="15878" width="20.7109375" style="1" customWidth="1"/>
    <col min="15879" max="15879" width="23.140625" style="1" customWidth="1"/>
    <col min="15880" max="15880" width="24" style="1" customWidth="1"/>
    <col min="15881" max="15881" width="17" style="1" customWidth="1"/>
    <col min="15882" max="15882" width="8.85546875" style="1"/>
    <col min="15883" max="15883" width="16" style="1" customWidth="1"/>
    <col min="15884" max="15884" width="16.7109375" style="1" customWidth="1"/>
    <col min="15885" max="15885" width="13.28515625" style="1" customWidth="1"/>
    <col min="15886" max="16128" width="8.85546875" style="1"/>
    <col min="16129" max="16129" width="13.7109375" style="1" customWidth="1"/>
    <col min="16130" max="16130" width="14.28515625" style="1" customWidth="1"/>
    <col min="16131" max="16131" width="27.7109375" style="1" customWidth="1"/>
    <col min="16132" max="16132" width="19.140625" style="1" customWidth="1"/>
    <col min="16133" max="16133" width="23.28515625" style="1" customWidth="1"/>
    <col min="16134" max="16134" width="20.7109375" style="1" customWidth="1"/>
    <col min="16135" max="16135" width="23.140625" style="1" customWidth="1"/>
    <col min="16136" max="16136" width="24" style="1" customWidth="1"/>
    <col min="16137" max="16137" width="17" style="1" customWidth="1"/>
    <col min="16138" max="16138" width="8.85546875" style="1"/>
    <col min="16139" max="16139" width="16" style="1" customWidth="1"/>
    <col min="16140" max="16140" width="16.7109375" style="1" customWidth="1"/>
    <col min="16141" max="16141" width="13.28515625" style="1" customWidth="1"/>
    <col min="16142" max="16384" width="8.85546875" style="1"/>
  </cols>
  <sheetData>
    <row r="1" spans="1:20" x14ac:dyDescent="0.25">
      <c r="A1" s="4" t="str">
        <f ca="1">MID(CELL("filename",A1),FIND("]",CELL("filename",A1))+1,255)</f>
        <v>Exogenous Costs</v>
      </c>
    </row>
    <row r="2" spans="1:20" x14ac:dyDescent="0.25">
      <c r="A2" s="239" t="s">
        <v>142</v>
      </c>
    </row>
    <row r="3" spans="1:20" x14ac:dyDescent="0.25">
      <c r="A3" s="5" t="s">
        <v>15</v>
      </c>
    </row>
    <row r="4" spans="1:20" x14ac:dyDescent="0.25">
      <c r="A4" s="239" t="s">
        <v>143</v>
      </c>
      <c r="P4" s="2"/>
    </row>
    <row r="5" spans="1:20" x14ac:dyDescent="0.25">
      <c r="A5" s="171"/>
      <c r="I5" s="19"/>
    </row>
    <row r="6" spans="1:20" x14ac:dyDescent="0.25">
      <c r="A6" s="17"/>
      <c r="I6" s="19"/>
    </row>
    <row r="7" spans="1:20" ht="16.5" thickBot="1" x14ac:dyDescent="0.3">
      <c r="A7" s="17"/>
      <c r="I7" s="19"/>
    </row>
    <row r="8" spans="1:20" ht="49.5" customHeight="1" thickBot="1" x14ac:dyDescent="0.3">
      <c r="A8" s="251" t="s">
        <v>71</v>
      </c>
      <c r="B8" s="252"/>
      <c r="C8" s="252"/>
      <c r="D8" s="251" t="s">
        <v>160</v>
      </c>
      <c r="E8" s="252"/>
      <c r="F8" s="252"/>
      <c r="G8" s="119"/>
      <c r="I8" s="19"/>
    </row>
    <row r="9" spans="1:20" ht="38.25" customHeight="1" x14ac:dyDescent="0.25">
      <c r="A9" s="115" t="s">
        <v>69</v>
      </c>
      <c r="B9" s="114" t="s">
        <v>88</v>
      </c>
      <c r="C9" s="116" t="s">
        <v>70</v>
      </c>
      <c r="D9" s="115" t="s">
        <v>69</v>
      </c>
      <c r="E9" s="114" t="s">
        <v>88</v>
      </c>
      <c r="F9" s="116" t="s">
        <v>70</v>
      </c>
      <c r="G9" s="120" t="s">
        <v>55</v>
      </c>
      <c r="I9" s="44"/>
    </row>
    <row r="10" spans="1:20" ht="15" x14ac:dyDescent="0.25">
      <c r="A10" s="117" t="s">
        <v>72</v>
      </c>
      <c r="B10" s="189">
        <v>0</v>
      </c>
      <c r="C10" s="190"/>
      <c r="D10" s="117" t="s">
        <v>72</v>
      </c>
      <c r="E10" s="189">
        <v>0</v>
      </c>
      <c r="F10" s="190"/>
      <c r="G10" s="223">
        <f>ROUND($E$10-$B$10,2)</f>
        <v>0</v>
      </c>
      <c r="H10" s="1"/>
      <c r="I10" s="196"/>
      <c r="J10" s="196"/>
    </row>
    <row r="11" spans="1:20" s="124" customFormat="1" ht="15" x14ac:dyDescent="0.25">
      <c r="A11" s="117" t="s">
        <v>73</v>
      </c>
      <c r="B11" s="222">
        <v>0</v>
      </c>
      <c r="C11" s="190"/>
      <c r="D11" s="117" t="s">
        <v>73</v>
      </c>
      <c r="E11" s="222">
        <v>0</v>
      </c>
      <c r="F11" s="190"/>
      <c r="G11" s="224">
        <f>ROUND($E$11-$B$11,2)</f>
        <v>0</v>
      </c>
      <c r="H11" s="221"/>
    </row>
    <row r="12" spans="1:20" thickBot="1" x14ac:dyDescent="0.3">
      <c r="A12" s="118" t="s">
        <v>74</v>
      </c>
      <c r="B12" s="191">
        <v>0</v>
      </c>
      <c r="C12" s="192"/>
      <c r="D12" s="118" t="s">
        <v>74</v>
      </c>
      <c r="E12" s="191">
        <v>0</v>
      </c>
      <c r="F12" s="192"/>
      <c r="G12" s="225">
        <f>ROUND($E$12-$B$12,2)</f>
        <v>0</v>
      </c>
      <c r="H12" s="221"/>
      <c r="I12" s="167"/>
      <c r="J12" s="124"/>
      <c r="K12" s="124"/>
      <c r="L12" s="124"/>
      <c r="M12" s="124"/>
      <c r="N12" s="124"/>
      <c r="O12" s="124"/>
    </row>
    <row r="13" spans="1:20" s="124" customFormat="1" ht="15.75" customHeight="1" x14ac:dyDescent="0.25">
      <c r="A13" s="121"/>
      <c r="B13" s="121"/>
      <c r="C13" s="121"/>
      <c r="D13" s="121"/>
      <c r="E13" s="121"/>
      <c r="F13" s="121"/>
      <c r="G13" s="121"/>
      <c r="H13" s="121"/>
      <c r="I13" s="121"/>
      <c r="J13" s="121"/>
      <c r="K13" s="121"/>
      <c r="L13" s="121"/>
      <c r="M13" s="121"/>
      <c r="N13" s="121"/>
      <c r="O13" s="121"/>
      <c r="P13" s="121"/>
      <c r="Q13" s="121"/>
      <c r="R13" s="121"/>
    </row>
    <row r="14" spans="1:20" ht="15.75" customHeight="1" x14ac:dyDescent="0.25">
      <c r="A14" s="1"/>
      <c r="B14" s="1"/>
    </row>
    <row r="15" spans="1:20" ht="16.5" thickBot="1" x14ac:dyDescent="0.3">
      <c r="A15" s="1"/>
      <c r="B15" s="1"/>
      <c r="K15" s="23"/>
      <c r="L15" s="23"/>
      <c r="M15" s="23"/>
      <c r="N15" s="23"/>
      <c r="T15" s="23"/>
    </row>
    <row r="16" spans="1:20" ht="43.5" customHeight="1" thickBot="1" x14ac:dyDescent="0.3">
      <c r="A16" s="32"/>
      <c r="B16" s="168"/>
      <c r="C16" s="168"/>
      <c r="D16" s="168"/>
      <c r="E16" s="248" t="s">
        <v>90</v>
      </c>
      <c r="F16" s="249"/>
      <c r="G16" s="249"/>
      <c r="H16" s="250"/>
      <c r="I16" s="253"/>
      <c r="J16" s="254"/>
      <c r="K16" s="255"/>
      <c r="L16" s="236"/>
      <c r="M16" s="256" t="s">
        <v>126</v>
      </c>
      <c r="N16" s="257"/>
      <c r="O16" s="253" t="s">
        <v>54</v>
      </c>
      <c r="P16" s="254"/>
      <c r="Q16" s="254"/>
      <c r="R16" s="255"/>
    </row>
    <row r="17" spans="1:19" ht="225" customHeight="1" x14ac:dyDescent="0.25">
      <c r="A17" s="103" t="s">
        <v>3</v>
      </c>
      <c r="B17" s="104" t="s">
        <v>4</v>
      </c>
      <c r="C17" s="7" t="s">
        <v>6</v>
      </c>
      <c r="D17" s="133" t="s">
        <v>7</v>
      </c>
      <c r="E17" s="211" t="s">
        <v>117</v>
      </c>
      <c r="F17" s="212" t="s">
        <v>118</v>
      </c>
      <c r="G17" s="212" t="s">
        <v>119</v>
      </c>
      <c r="H17" s="214" t="s">
        <v>120</v>
      </c>
      <c r="I17" s="211" t="s">
        <v>121</v>
      </c>
      <c r="J17" s="212" t="s">
        <v>122</v>
      </c>
      <c r="K17" s="214" t="s">
        <v>124</v>
      </c>
      <c r="L17" s="215" t="s">
        <v>123</v>
      </c>
      <c r="M17" s="220" t="s">
        <v>128</v>
      </c>
      <c r="N17" s="214" t="s">
        <v>127</v>
      </c>
      <c r="O17" s="211" t="s">
        <v>51</v>
      </c>
      <c r="P17" s="212" t="s">
        <v>52</v>
      </c>
      <c r="Q17" s="212" t="s">
        <v>53</v>
      </c>
      <c r="R17" s="213" t="s">
        <v>62</v>
      </c>
      <c r="S17" s="229"/>
    </row>
    <row r="18" spans="1:19" ht="15" x14ac:dyDescent="0.25">
      <c r="A18" s="101"/>
      <c r="B18" s="102"/>
      <c r="C18" s="102"/>
      <c r="D18" s="134"/>
      <c r="E18" s="8" t="str">
        <f t="shared" ref="E18" si="0">"Col "&amp;COLUMN(E18)-4</f>
        <v>Col 1</v>
      </c>
      <c r="F18" s="3" t="str">
        <f t="shared" ref="F18:R18" si="1">"Col "&amp;COLUMN(F18)-4</f>
        <v>Col 2</v>
      </c>
      <c r="G18" s="3" t="str">
        <f t="shared" si="1"/>
        <v>Col 3</v>
      </c>
      <c r="H18" s="135" t="str">
        <f t="shared" si="1"/>
        <v>Col 4</v>
      </c>
      <c r="I18" s="8" t="str">
        <f t="shared" si="1"/>
        <v>Col 5</v>
      </c>
      <c r="J18" s="3" t="str">
        <f t="shared" si="1"/>
        <v>Col 6</v>
      </c>
      <c r="K18" s="135" t="str">
        <f t="shared" si="1"/>
        <v>Col 7</v>
      </c>
      <c r="L18" s="182" t="str">
        <f t="shared" si="1"/>
        <v>Col 8</v>
      </c>
      <c r="M18" s="8" t="str">
        <f t="shared" si="1"/>
        <v>Col 9</v>
      </c>
      <c r="N18" s="135" t="str">
        <f t="shared" si="1"/>
        <v>Col 10</v>
      </c>
      <c r="O18" s="8" t="str">
        <f t="shared" si="1"/>
        <v>Col 11</v>
      </c>
      <c r="P18" s="3" t="str">
        <f t="shared" si="1"/>
        <v>Col 12</v>
      </c>
      <c r="Q18" s="3" t="str">
        <f t="shared" si="1"/>
        <v>Col 13</v>
      </c>
      <c r="R18" s="9" t="str">
        <f t="shared" si="1"/>
        <v>Col 14</v>
      </c>
    </row>
    <row r="19" spans="1:19" ht="60" x14ac:dyDescent="0.25">
      <c r="A19" s="101" t="s">
        <v>2</v>
      </c>
      <c r="B19" s="102" t="s">
        <v>2</v>
      </c>
      <c r="C19" s="102" t="s">
        <v>2</v>
      </c>
      <c r="D19" s="134" t="s">
        <v>2</v>
      </c>
      <c r="E19" s="8" t="s">
        <v>2</v>
      </c>
      <c r="F19" s="3" t="s">
        <v>2</v>
      </c>
      <c r="G19" s="3" t="s">
        <v>2</v>
      </c>
      <c r="H19" s="135" t="s">
        <v>2</v>
      </c>
      <c r="I19" s="8" t="str">
        <f>E18&amp;" / ("&amp;G18&amp;" - "&amp;E18&amp;")"</f>
        <v>Col 1 / (Col 3 - Col 1)</v>
      </c>
      <c r="J19" s="3" t="str">
        <f>F18&amp;" X (1 + "&amp;I18&amp;")"</f>
        <v>Col 2 X (1 + Col 5)</v>
      </c>
      <c r="K19" s="135" t="str">
        <f>J18&amp;" / "&amp;G18</f>
        <v>Col 6 / Col 3</v>
      </c>
      <c r="L19" s="182" t="s">
        <v>2</v>
      </c>
      <c r="M19" s="8" t="s">
        <v>2</v>
      </c>
      <c r="N19" s="135" t="str">
        <f>CONCATENATE(M18," - (",M18,"  / (12 / 9))")</f>
        <v>Col 9 - (Col 9  / (12 / 9))</v>
      </c>
      <c r="O19" s="50" t="str">
        <f>"Incremental Regulatory Fee Per $ Revenue"&amp;" X "&amp;G18&amp;" X "&amp;K18&amp;" X "&amp;L18</f>
        <v>Incremental Regulatory Fee Per $ Revenue X Col 3 X Col 7 X Col 8</v>
      </c>
      <c r="P19" s="219" t="str">
        <f>"Incremental TRS Fee Per $ Revenue"&amp;" X "&amp;G18&amp;" X "&amp;K18&amp;" X "&amp;L18</f>
        <v>Incremental TRS Fee Per $ Revenue X Col 3 X Col 7 X Col 8</v>
      </c>
      <c r="Q19" s="42" t="str">
        <f>"Incremental NANPA Fee Per $ Revenue"&amp;" X "&amp;H18&amp;" X "&amp;K18&amp;" X "&amp;L18</f>
        <v>Incremental NANPA Fee Per $ Revenue X Col 4 X Col 7 X Col 8</v>
      </c>
      <c r="R19" s="199" t="str">
        <f>"Sum("&amp;O18&amp;" + "&amp;P18&amp;" + "&amp;Q18&amp;" - "&amp;N18&amp;" )"</f>
        <v>Sum(Col 11 + Col 12 + Col 13 - Col 10 )</v>
      </c>
    </row>
    <row r="20" spans="1:19" s="131" customFormat="1" thickBot="1" x14ac:dyDescent="0.3">
      <c r="A20" s="138" t="s">
        <v>89</v>
      </c>
      <c r="B20" s="139" t="s">
        <v>89</v>
      </c>
      <c r="C20" s="208" t="s">
        <v>116</v>
      </c>
      <c r="D20" s="140" t="s">
        <v>109</v>
      </c>
      <c r="E20" s="141">
        <v>50000</v>
      </c>
      <c r="F20" s="142">
        <v>75000</v>
      </c>
      <c r="G20" s="142">
        <v>325000</v>
      </c>
      <c r="H20" s="143">
        <v>625000</v>
      </c>
      <c r="I20" s="136">
        <f>ROUND(IFERROR(E20/(G20-E20),"NA"),6)</f>
        <v>0.18181800000000001</v>
      </c>
      <c r="J20" s="137">
        <f>ROUND(IFERROR(F20*(1+I20),"NA"),2)</f>
        <v>88636.35</v>
      </c>
      <c r="K20" s="209">
        <f>ROUND(IFERROR((J20/G20),"NA"),6)</f>
        <v>0.272727</v>
      </c>
      <c r="L20" s="210">
        <v>0.15890000000000001</v>
      </c>
      <c r="M20" s="141">
        <v>1</v>
      </c>
      <c r="N20" s="143">
        <f>ROUND((M20-(M20/(12/9))),2)</f>
        <v>0.25</v>
      </c>
      <c r="O20" s="145">
        <f>ROUND(IFERROR($G$10*G20*K20*L20,"NA"),2)</f>
        <v>0</v>
      </c>
      <c r="P20" s="137">
        <f>ROUND(IFERROR($G$11*G20*K20*L20,"NA"),2)</f>
        <v>0</v>
      </c>
      <c r="Q20" s="137">
        <f>ROUND(IFERROR($G$12*H20*K20*L20,"NA"),2)</f>
        <v>0</v>
      </c>
      <c r="R20" s="200">
        <f>ROUND(SUM(O20:Q20,-N20),2)</f>
        <v>-0.25</v>
      </c>
    </row>
    <row r="21" spans="1:19" x14ac:dyDescent="0.25">
      <c r="A21" s="1"/>
      <c r="B21" s="1"/>
      <c r="C21" s="1"/>
      <c r="D21" s="20"/>
      <c r="E21" s="20"/>
      <c r="F21" s="20"/>
      <c r="G21" s="1"/>
      <c r="H21" s="1"/>
    </row>
  </sheetData>
  <mergeCells count="6">
    <mergeCell ref="E16:H16"/>
    <mergeCell ref="A8:C8"/>
    <mergeCell ref="D8:F8"/>
    <mergeCell ref="I16:K16"/>
    <mergeCell ref="O16:R16"/>
    <mergeCell ref="M16:N16"/>
  </mergeCells>
  <pageMargins left="0.25" right="0.25" top="0.75" bottom="0.75" header="0.3" footer="0.3"/>
  <pageSetup paperSize="5"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17"/>
  <sheetViews>
    <sheetView zoomScale="80" zoomScaleNormal="80" workbookViewId="0">
      <selection activeCell="H16" sqref="H16"/>
    </sheetView>
  </sheetViews>
  <sheetFormatPr defaultRowHeight="15" x14ac:dyDescent="0.25"/>
  <cols>
    <col min="1" max="2" width="17.7109375" style="1" customWidth="1"/>
    <col min="4" max="4" width="23" bestFit="1" customWidth="1"/>
    <col min="5" max="7" width="17.7109375" style="1" customWidth="1"/>
    <col min="8" max="10" width="17.7109375" customWidth="1"/>
    <col min="11" max="11" width="19.85546875" customWidth="1"/>
    <col min="12" max="13" width="17.7109375" customWidth="1"/>
    <col min="14" max="14" width="17.7109375" style="1" customWidth="1"/>
    <col min="15" max="15" width="17.7109375" customWidth="1"/>
    <col min="16" max="17" width="17.7109375" style="1" customWidth="1"/>
    <col min="18" max="38" width="17.7109375" customWidth="1"/>
  </cols>
  <sheetData>
    <row r="1" spans="1:17" s="1" customFormat="1" x14ac:dyDescent="0.25">
      <c r="A1" s="4" t="str">
        <f ca="1">MID(CELL("filename",A1),FIND("]",CELL("filename",A1))+1,255)</f>
        <v>Factor Dev</v>
      </c>
    </row>
    <row r="2" spans="1:17" s="1" customFormat="1" x14ac:dyDescent="0.25">
      <c r="A2" s="239" t="str">
        <f>'Exogenous Costs'!A2</f>
        <v>Filing Date:  06/16/20</v>
      </c>
    </row>
    <row r="3" spans="1:17" s="1" customFormat="1" x14ac:dyDescent="0.25">
      <c r="A3" s="5" t="str">
        <f>'Exogenous Costs'!A3</f>
        <v xml:space="preserve">Filing Entity:  </v>
      </c>
    </row>
    <row r="4" spans="1:17" s="1" customFormat="1" x14ac:dyDescent="0.25">
      <c r="A4" s="239" t="str">
        <f>'Exogenous Costs'!A4</f>
        <v xml:space="preserve">Transmittal Number:  </v>
      </c>
      <c r="B4" s="124"/>
      <c r="D4" s="10"/>
      <c r="L4" s="10"/>
      <c r="M4" s="10"/>
      <c r="N4" s="10"/>
    </row>
    <row r="5" spans="1:17" s="1" customFormat="1" x14ac:dyDescent="0.25">
      <c r="A5" s="17"/>
    </row>
    <row r="6" spans="1:17" s="1" customFormat="1" x14ac:dyDescent="0.25">
      <c r="A6" s="17"/>
      <c r="L6" s="33"/>
    </row>
    <row r="7" spans="1:17" s="1" customFormat="1" x14ac:dyDescent="0.25">
      <c r="A7" s="35"/>
      <c r="B7" s="39"/>
      <c r="C7" s="258" t="s">
        <v>23</v>
      </c>
      <c r="D7" s="258"/>
      <c r="E7" s="258"/>
      <c r="F7" s="258"/>
      <c r="G7" s="258"/>
      <c r="H7" s="259"/>
      <c r="K7" s="112"/>
    </row>
    <row r="8" spans="1:17" s="1" customFormat="1" x14ac:dyDescent="0.25">
      <c r="A8" s="230" t="s">
        <v>24</v>
      </c>
      <c r="B8" s="231">
        <v>111.212</v>
      </c>
      <c r="C8" s="36" t="s">
        <v>50</v>
      </c>
      <c r="D8" s="2"/>
      <c r="E8" s="2"/>
      <c r="F8" s="2"/>
      <c r="G8" s="2"/>
      <c r="H8" s="24"/>
      <c r="J8" s="111"/>
      <c r="K8" s="112"/>
    </row>
    <row r="9" spans="1:17" s="1" customFormat="1" x14ac:dyDescent="0.25">
      <c r="A9" s="232" t="s">
        <v>91</v>
      </c>
      <c r="B9" s="233">
        <v>113.036</v>
      </c>
      <c r="C9" s="234" t="s">
        <v>132</v>
      </c>
      <c r="D9" s="235"/>
      <c r="E9" s="235"/>
      <c r="F9" s="235"/>
      <c r="G9" s="235"/>
      <c r="H9" s="25"/>
      <c r="K9" s="112"/>
    </row>
    <row r="10" spans="1:17" s="1" customFormat="1" x14ac:dyDescent="0.25">
      <c r="A10" s="17"/>
    </row>
    <row r="11" spans="1:17" s="1" customFormat="1" x14ac:dyDescent="0.25">
      <c r="A11" s="17"/>
      <c r="G11" s="261"/>
      <c r="H11" s="261"/>
      <c r="O11" s="23"/>
      <c r="Q11" s="23"/>
    </row>
    <row r="12" spans="1:17" s="1" customFormat="1" ht="23.25" customHeight="1" thickBot="1" x14ac:dyDescent="0.3">
      <c r="A12" s="113"/>
      <c r="B12" s="113"/>
      <c r="C12" s="113"/>
      <c r="D12" s="113"/>
      <c r="E12" s="48"/>
      <c r="F12" s="48"/>
      <c r="G12" s="48"/>
      <c r="I12" s="2"/>
      <c r="J12" s="48"/>
      <c r="K12" s="48"/>
      <c r="L12" s="49"/>
    </row>
    <row r="13" spans="1:17" ht="120" x14ac:dyDescent="0.25">
      <c r="A13" s="6" t="s">
        <v>3</v>
      </c>
      <c r="B13" s="7" t="s">
        <v>4</v>
      </c>
      <c r="C13" s="7" t="s">
        <v>6</v>
      </c>
      <c r="D13" s="133" t="s">
        <v>7</v>
      </c>
      <c r="E13" s="14" t="s">
        <v>0</v>
      </c>
      <c r="F13" s="13" t="s">
        <v>58</v>
      </c>
      <c r="G13" s="13" t="s">
        <v>115</v>
      </c>
      <c r="H13" s="144" t="s">
        <v>62</v>
      </c>
      <c r="I13" s="14" t="s">
        <v>59</v>
      </c>
      <c r="J13" s="13" t="s">
        <v>96</v>
      </c>
      <c r="K13" s="125" t="s">
        <v>78</v>
      </c>
      <c r="N13"/>
      <c r="P13"/>
      <c r="Q13"/>
    </row>
    <row r="14" spans="1:17" s="1" customFormat="1" x14ac:dyDescent="0.25">
      <c r="A14" s="12"/>
      <c r="B14" s="11"/>
      <c r="C14" s="11"/>
      <c r="D14" s="202"/>
      <c r="E14" s="40" t="str">
        <f t="shared" ref="E14:K14" si="0">"Col "&amp;COLUMN(E14)+10</f>
        <v>Col 15</v>
      </c>
      <c r="F14" s="16" t="str">
        <f t="shared" si="0"/>
        <v>Col 16</v>
      </c>
      <c r="G14" s="16" t="str">
        <f t="shared" si="0"/>
        <v>Col 17</v>
      </c>
      <c r="H14" s="146" t="str">
        <f t="shared" si="0"/>
        <v>Col 18</v>
      </c>
      <c r="I14" s="40" t="str">
        <f t="shared" si="0"/>
        <v>Col 19</v>
      </c>
      <c r="J14" s="16" t="str">
        <f t="shared" si="0"/>
        <v>Col 20</v>
      </c>
      <c r="K14" s="41" t="str">
        <f t="shared" si="0"/>
        <v>Col 21</v>
      </c>
    </row>
    <row r="15" spans="1:17" s="1" customFormat="1" ht="93.6" customHeight="1" x14ac:dyDescent="0.25">
      <c r="A15" s="101" t="s">
        <v>2</v>
      </c>
      <c r="B15" s="102" t="s">
        <v>2</v>
      </c>
      <c r="C15" s="102" t="s">
        <v>2</v>
      </c>
      <c r="D15" s="134" t="s">
        <v>2</v>
      </c>
      <c r="E15" s="194" t="s">
        <v>45</v>
      </c>
      <c r="F15" s="3" t="str">
        <f>"("&amp;A9&amp;" - "&amp;A8&amp;") / "&amp;A8</f>
        <v>(GDP-PI Q4 2019 - GDP-PI Q4 2018) / GDP-PI Q4 2018</v>
      </c>
      <c r="G15" s="43" t="str">
        <f>"("&amp;'BDS Track 1 TRP'!G14&amp;" + "&amp;'BDS Track 1 TRP'!J14&amp;")"</f>
        <v>(Col 26 + Col 29)</v>
      </c>
      <c r="H15" s="205" t="str">
        <f>'Exogenous Costs'!R18</f>
        <v>Col 14</v>
      </c>
      <c r="I15" s="206" t="str">
        <f>"("&amp;'Factor Dev'!G14&amp;" + "&amp;H14&amp;") / "&amp;'Factor Dev'!G14</f>
        <v>(Col 17 + Col 18) / Col 17</v>
      </c>
      <c r="J15" s="3" t="s">
        <v>2</v>
      </c>
      <c r="K15" s="41" t="str">
        <f>J14&amp;" X (1 + "&amp;'Factor Dev'!I14&amp;" X ("&amp;F14&amp;" - "&amp;E14&amp;") + "&amp;'Factor Dev'!H14&amp;" / "&amp;'Factor Dev'!G14&amp;")"</f>
        <v>Col 20 X (1 + Col 19 X (Col 16 - Col 15) + Col 18 / Col 17)</v>
      </c>
    </row>
    <row r="16" spans="1:17" s="132" customFormat="1" ht="15" customHeight="1" thickBot="1" x14ac:dyDescent="0.3">
      <c r="A16" s="147" t="s">
        <v>89</v>
      </c>
      <c r="B16" s="148" t="s">
        <v>89</v>
      </c>
      <c r="C16" s="201" t="s">
        <v>116</v>
      </c>
      <c r="D16" s="203" t="s">
        <v>109</v>
      </c>
      <c r="E16" s="226">
        <v>0.02</v>
      </c>
      <c r="F16" s="217">
        <f>ROUND(IFERROR(($B$9-$B$8)/$B$8,""),6)</f>
        <v>1.6400999999999999E-2</v>
      </c>
      <c r="G16" s="204">
        <f>ROUND(SUM('BDS Track 1 TRP'!G22,'BDS Track 1 TRP'!J22),2)</f>
        <v>1450000</v>
      </c>
      <c r="H16" s="143">
        <f>'Exogenous Costs'!R20</f>
        <v>-0.25</v>
      </c>
      <c r="I16" s="207">
        <f>ROUND(IFERROR(SUM(G16:H16)/G16,0),6)</f>
        <v>1</v>
      </c>
      <c r="J16" s="149">
        <v>100</v>
      </c>
      <c r="K16" s="218">
        <f>IF(G16&lt;&gt;0,ROUND(J16*(1+I16*(F16-E16)+H16/G16),6),"NA")</f>
        <v>99.640083000000004</v>
      </c>
      <c r="L16" s="227"/>
      <c r="M16" s="124"/>
      <c r="N16" s="124"/>
      <c r="O16" s="124"/>
    </row>
    <row r="17" spans="8:18" x14ac:dyDescent="0.25">
      <c r="H17" s="260"/>
      <c r="I17" s="260"/>
      <c r="J17" s="260"/>
      <c r="K17" s="260"/>
      <c r="Q17"/>
      <c r="R17" s="1"/>
    </row>
  </sheetData>
  <mergeCells count="3">
    <mergeCell ref="C7:H7"/>
    <mergeCell ref="H17:K17"/>
    <mergeCell ref="G11:H11"/>
  </mergeCells>
  <pageMargins left="0.25" right="0.25" top="0.75" bottom="0.75" header="0.3" footer="0.3"/>
  <pageSetup paperSize="5"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26BE2-10D0-4FFE-9647-9889746A36BE}">
  <sheetPr>
    <pageSetUpPr fitToPage="1"/>
  </sheetPr>
  <dimension ref="A1:AG188"/>
  <sheetViews>
    <sheetView tabSelected="1" topLeftCell="A7" zoomScale="70" zoomScaleNormal="70" workbookViewId="0">
      <selection activeCell="P27" sqref="P27"/>
    </sheetView>
  </sheetViews>
  <sheetFormatPr defaultColWidth="9.140625" defaultRowHeight="15" x14ac:dyDescent="0.25"/>
  <cols>
    <col min="1" max="1" width="13.28515625" style="30" customWidth="1"/>
    <col min="2" max="2" width="68.7109375" style="91" bestFit="1" customWidth="1"/>
    <col min="3" max="3" width="18.7109375" style="27" customWidth="1"/>
    <col min="4" max="4" width="16.140625" style="64" customWidth="1"/>
    <col min="5" max="5" width="20.28515625" style="26" customWidth="1"/>
    <col min="6" max="6" width="15.7109375" style="26" customWidth="1"/>
    <col min="7" max="9" width="19.5703125" style="26" bestFit="1" customWidth="1"/>
    <col min="10" max="12" width="19.5703125" style="28" bestFit="1" customWidth="1"/>
    <col min="13" max="13" width="20" style="29" bestFit="1" customWidth="1"/>
    <col min="14" max="15" width="20" style="30" bestFit="1" customWidth="1"/>
    <col min="16" max="16" width="15.7109375" style="30" customWidth="1"/>
    <col min="17" max="16384" width="9.140625" style="30"/>
  </cols>
  <sheetData>
    <row r="1" spans="1:33" ht="21" x14ac:dyDescent="0.35">
      <c r="A1" s="288" t="str">
        <f>CONCATENATE('Exogenous Costs'!C20," TRP")</f>
        <v>999901 TRP</v>
      </c>
      <c r="B1" s="288"/>
      <c r="C1" s="30"/>
      <c r="D1" s="240"/>
      <c r="E1" s="240"/>
      <c r="F1" s="169"/>
      <c r="G1" s="30"/>
      <c r="H1" s="30"/>
      <c r="I1" s="28"/>
      <c r="L1" s="29"/>
      <c r="M1" s="30"/>
    </row>
    <row r="2" spans="1:33" x14ac:dyDescent="0.25">
      <c r="A2" s="289" t="str">
        <f>'Exogenous Costs'!A2</f>
        <v>Filing Date:  06/16/20</v>
      </c>
      <c r="B2" s="289"/>
      <c r="C2" s="30"/>
      <c r="D2" s="30"/>
      <c r="F2" s="170"/>
      <c r="G2" s="30"/>
      <c r="H2" s="30"/>
      <c r="I2" s="28"/>
      <c r="L2" s="29"/>
      <c r="M2" s="30"/>
    </row>
    <row r="3" spans="1:33" x14ac:dyDescent="0.25">
      <c r="A3" s="289" t="str">
        <f>'Exogenous Costs'!A3</f>
        <v xml:space="preserve">Filing Entity:  </v>
      </c>
      <c r="B3" s="289"/>
      <c r="C3" s="30"/>
      <c r="D3" s="30"/>
      <c r="F3" s="31"/>
      <c r="G3" s="30"/>
      <c r="H3" s="30"/>
      <c r="I3" s="28"/>
      <c r="L3" s="29"/>
      <c r="M3" s="30"/>
    </row>
    <row r="4" spans="1:33" x14ac:dyDescent="0.25">
      <c r="A4" s="289" t="str">
        <f>'Exogenous Costs'!A4</f>
        <v xml:space="preserve">Transmittal Number:  </v>
      </c>
      <c r="B4" s="289"/>
      <c r="C4" s="30"/>
      <c r="D4" s="30"/>
      <c r="F4" s="31"/>
      <c r="G4" s="30"/>
      <c r="H4" s="30"/>
      <c r="I4" s="28"/>
      <c r="L4" s="29"/>
      <c r="M4" s="30"/>
    </row>
    <row r="5" spans="1:33" x14ac:dyDescent="0.25">
      <c r="A5" s="288"/>
      <c r="B5" s="288"/>
      <c r="C5" s="30"/>
      <c r="D5" s="30"/>
      <c r="F5" s="31"/>
      <c r="G5" s="30"/>
      <c r="H5" s="30"/>
      <c r="I5" s="30"/>
      <c r="J5" s="30"/>
      <c r="K5" s="30"/>
      <c r="L5" s="30"/>
      <c r="M5" s="30"/>
    </row>
    <row r="6" spans="1:33" x14ac:dyDescent="0.25">
      <c r="A6" s="32"/>
      <c r="B6" s="27"/>
      <c r="C6" s="30"/>
      <c r="D6" s="30"/>
      <c r="F6" s="31"/>
      <c r="G6" s="21"/>
      <c r="H6" s="37"/>
      <c r="I6" s="30"/>
      <c r="J6" s="30"/>
      <c r="K6" s="30"/>
      <c r="L6" s="30"/>
      <c r="M6" s="30"/>
    </row>
    <row r="7" spans="1:33" x14ac:dyDescent="0.25">
      <c r="A7" s="288" t="s">
        <v>10</v>
      </c>
      <c r="B7" s="288"/>
      <c r="C7" s="160" t="s">
        <v>116</v>
      </c>
      <c r="D7" s="30"/>
      <c r="F7" s="31"/>
      <c r="G7" s="21"/>
      <c r="H7" s="37"/>
      <c r="I7" s="30"/>
      <c r="J7" s="30"/>
      <c r="K7" s="30"/>
      <c r="L7" s="30"/>
      <c r="M7" s="30"/>
    </row>
    <row r="8" spans="1:33" x14ac:dyDescent="0.25">
      <c r="A8" s="288" t="s">
        <v>11</v>
      </c>
      <c r="B8" s="288"/>
      <c r="C8" s="290" t="s">
        <v>109</v>
      </c>
      <c r="D8" s="290"/>
      <c r="F8" s="31"/>
      <c r="G8" s="21"/>
      <c r="H8" s="37"/>
      <c r="I8" s="30"/>
      <c r="J8" s="30"/>
      <c r="K8" s="30"/>
      <c r="L8" s="30"/>
      <c r="M8" s="30"/>
    </row>
    <row r="9" spans="1:33" x14ac:dyDescent="0.25">
      <c r="A9" s="291" t="s">
        <v>98</v>
      </c>
      <c r="B9" s="291"/>
      <c r="C9" s="216">
        <f>'Factor Dev'!K16</f>
        <v>99.640083000000004</v>
      </c>
      <c r="D9" s="161"/>
      <c r="G9" s="228"/>
      <c r="I9" s="58"/>
      <c r="K9" s="58"/>
      <c r="L9" s="26"/>
      <c r="M9" s="58"/>
      <c r="N9" s="58"/>
      <c r="O9" s="58"/>
      <c r="P9" s="58"/>
      <c r="Q9" s="58"/>
      <c r="R9" s="58"/>
      <c r="S9" s="58"/>
      <c r="T9" s="58"/>
      <c r="U9" s="58"/>
      <c r="V9" s="58"/>
      <c r="W9" s="58"/>
      <c r="X9" s="58"/>
      <c r="Y9" s="58"/>
      <c r="Z9" s="58"/>
      <c r="AA9" s="58"/>
      <c r="AB9" s="58"/>
    </row>
    <row r="10" spans="1:33" ht="15.75" x14ac:dyDescent="0.25">
      <c r="A10" s="291" t="s">
        <v>97</v>
      </c>
      <c r="B10" s="291"/>
      <c r="C10" s="216">
        <f>'Factor Dev'!J16</f>
        <v>100</v>
      </c>
      <c r="D10" s="22"/>
      <c r="E10" s="58"/>
      <c r="G10" s="122"/>
      <c r="H10" s="58"/>
      <c r="J10" s="123"/>
      <c r="K10" s="123"/>
      <c r="L10" s="123"/>
      <c r="N10" s="58"/>
      <c r="O10" s="58"/>
      <c r="P10" s="58"/>
      <c r="Q10" s="58"/>
      <c r="R10" s="58"/>
      <c r="S10" s="58"/>
      <c r="T10" s="172"/>
      <c r="U10" s="172"/>
      <c r="V10" s="172"/>
      <c r="W10" s="58"/>
      <c r="X10" s="58"/>
      <c r="Y10" s="58"/>
      <c r="Z10" s="58"/>
      <c r="AA10" s="58"/>
      <c r="AB10" s="58"/>
      <c r="AC10" s="58"/>
      <c r="AD10" s="58"/>
      <c r="AE10" s="58"/>
      <c r="AF10" s="58"/>
      <c r="AG10" s="58"/>
    </row>
    <row r="11" spans="1:33" ht="15" customHeight="1" thickBot="1" x14ac:dyDescent="0.3">
      <c r="B11" s="30"/>
      <c r="C11" s="18"/>
      <c r="D11" s="27"/>
      <c r="E11" s="22"/>
      <c r="F11" s="179"/>
      <c r="N11" s="172"/>
      <c r="O11" s="172"/>
      <c r="P11" s="10"/>
    </row>
    <row r="12" spans="1:33" ht="16.5" thickBot="1" x14ac:dyDescent="0.3">
      <c r="A12" s="268"/>
      <c r="B12" s="286" t="s">
        <v>20</v>
      </c>
      <c r="C12" s="287"/>
      <c r="D12" s="287"/>
      <c r="E12" s="287"/>
      <c r="F12" s="287"/>
      <c r="G12" s="277" t="s">
        <v>48</v>
      </c>
      <c r="H12" s="278"/>
      <c r="I12" s="279"/>
      <c r="J12" s="262" t="s">
        <v>49</v>
      </c>
      <c r="K12" s="263"/>
      <c r="L12" s="264"/>
      <c r="M12" s="262" t="s">
        <v>61</v>
      </c>
      <c r="N12" s="263"/>
      <c r="O12" s="264"/>
    </row>
    <row r="13" spans="1:33" ht="192" customHeight="1" x14ac:dyDescent="0.25">
      <c r="A13" s="269"/>
      <c r="B13" s="103" t="s">
        <v>5</v>
      </c>
      <c r="C13" s="13" t="s">
        <v>99</v>
      </c>
      <c r="D13" s="185" t="s">
        <v>100</v>
      </c>
      <c r="E13" s="13" t="s">
        <v>103</v>
      </c>
      <c r="F13" s="144" t="s">
        <v>79</v>
      </c>
      <c r="G13" s="14" t="s">
        <v>129</v>
      </c>
      <c r="H13" s="13" t="s">
        <v>130</v>
      </c>
      <c r="I13" s="125" t="s">
        <v>131</v>
      </c>
      <c r="J13" s="14" t="s">
        <v>129</v>
      </c>
      <c r="K13" s="13" t="s">
        <v>130</v>
      </c>
      <c r="L13" s="125" t="s">
        <v>131</v>
      </c>
      <c r="M13" s="14" t="s">
        <v>129</v>
      </c>
      <c r="N13" s="13" t="s">
        <v>130</v>
      </c>
      <c r="O13" s="125" t="s">
        <v>131</v>
      </c>
    </row>
    <row r="14" spans="1:33" x14ac:dyDescent="0.25">
      <c r="A14" s="270"/>
      <c r="B14" s="40"/>
      <c r="C14" s="126" t="str">
        <f>"Col "&amp;COLUMN(C14)+19</f>
        <v>Col 22</v>
      </c>
      <c r="D14" s="126" t="str">
        <f t="shared" ref="D14:O14" si="0">"Col "&amp;COLUMN(D14)+19</f>
        <v>Col 23</v>
      </c>
      <c r="E14" s="126" t="str">
        <f t="shared" si="0"/>
        <v>Col 24</v>
      </c>
      <c r="F14" s="173" t="str">
        <f t="shared" si="0"/>
        <v>Col 25</v>
      </c>
      <c r="G14" s="181" t="str">
        <f t="shared" si="0"/>
        <v>Col 26</v>
      </c>
      <c r="H14" s="126" t="str">
        <f t="shared" si="0"/>
        <v>Col 27</v>
      </c>
      <c r="I14" s="127" t="str">
        <f t="shared" si="0"/>
        <v>Col 28</v>
      </c>
      <c r="J14" s="180" t="str">
        <f t="shared" si="0"/>
        <v>Col 29</v>
      </c>
      <c r="K14" s="126" t="str">
        <f t="shared" si="0"/>
        <v>Col 30</v>
      </c>
      <c r="L14" s="127" t="str">
        <f t="shared" si="0"/>
        <v>Col 31</v>
      </c>
      <c r="M14" s="181" t="str">
        <f t="shared" si="0"/>
        <v>Col 32</v>
      </c>
      <c r="N14" s="126" t="str">
        <f t="shared" si="0"/>
        <v>Col 33</v>
      </c>
      <c r="O14" s="127" t="str">
        <f t="shared" si="0"/>
        <v>Col 34</v>
      </c>
    </row>
    <row r="15" spans="1:33" ht="142.5" customHeight="1" x14ac:dyDescent="0.25">
      <c r="A15" s="182" t="s">
        <v>65</v>
      </c>
      <c r="B15" s="8"/>
      <c r="C15" s="43" t="s">
        <v>2</v>
      </c>
      <c r="D15" s="43" t="str">
        <f>"("&amp;O14&amp;"  / "&amp;N14&amp;") X "&amp;C14&amp;""</f>
        <v>(Col 34  / Col 33) X Col 22</v>
      </c>
      <c r="E15" s="128" t="str">
        <f>"("&amp;C14&amp;"  X Ratio of Proposed PCI to Current PCI X 1.05) or Study Area Proposed PCI"</f>
        <v>(Col 22  X Ratio of Proposed PCI to Current PCI X 1.05) or Study Area Proposed PCI</v>
      </c>
      <c r="F15" s="174" t="str">
        <f>D14&amp;" Must Be Less Than Or Equal To "&amp;E14&amp;" To Pass"</f>
        <v>Col 23 Must Be Less Than Or Equal To Col 24 To Pass</v>
      </c>
      <c r="G15" s="8" t="s">
        <v>101</v>
      </c>
      <c r="H15" s="3" t="s">
        <v>102</v>
      </c>
      <c r="I15" s="9" t="s">
        <v>64</v>
      </c>
      <c r="J15" s="292" t="s">
        <v>161</v>
      </c>
      <c r="K15" s="293" t="s">
        <v>162</v>
      </c>
      <c r="L15" s="294" t="s">
        <v>163</v>
      </c>
      <c r="M15" s="194" t="str">
        <f>CONCATENATE("Sum (",G14," + ",J14,")")</f>
        <v>Sum (Col 26 + Col 29)</v>
      </c>
      <c r="N15" s="43" t="str">
        <f>CONCATENATE("Sum (",H14," + ",K14,")")</f>
        <v>Sum (Col 27 + Col 30)</v>
      </c>
      <c r="O15" s="43" t="str">
        <f>CONCATENATE("Sum (",I14," + ",L14,")")</f>
        <v>Sum (Col 28 + Col 31)</v>
      </c>
      <c r="R15" s="58"/>
      <c r="S15" s="58"/>
      <c r="T15" s="58"/>
      <c r="U15" s="58"/>
      <c r="V15" s="58"/>
    </row>
    <row r="16" spans="1:33" x14ac:dyDescent="0.25">
      <c r="A16" s="183">
        <v>1</v>
      </c>
      <c r="B16" s="186" t="s">
        <v>56</v>
      </c>
      <c r="C16" s="38">
        <v>100</v>
      </c>
      <c r="D16" s="129">
        <f t="shared" ref="D16:D17" si="1">IF(SUM(N16,O16)&lt;&gt;0,ROUND((O16/N16)*C16,4),C16)</f>
        <v>100</v>
      </c>
      <c r="E16" s="129">
        <f>IF(SUM(N16,O16)&lt;&gt;0,ROUND(C16*($C$9/$C$10)*1.05,4),"NA")</f>
        <v>104.6221</v>
      </c>
      <c r="F16" s="175" t="str">
        <f>IF(D16&lt;=E16,"Pass","Fail")</f>
        <v>Pass</v>
      </c>
      <c r="G16" s="107">
        <f>ROUND(((SUMIF($C33:$C93,"VG",$K33:$K93)+SUMIF($C33:$C93,"WATS",$K33:$K93)+SUMIF($C33:$C93,"METAL",$K33:$K93)+SUMIF($C33:$C93,"TGR",$K33:$K93))*12),2)</f>
        <v>540000</v>
      </c>
      <c r="H16" s="178">
        <f>ROUND((SUMIF($C33:$C93,"VG",$L33:$L93)+SUMIF($C33:$C93,"WATS",$L33:$L93)+SUMIF($C33:$C93,"METAL",$L33:$L93)+SUMIF($C33:$C93,"TGR",$L33:$L93))*12,2)</f>
        <v>540000</v>
      </c>
      <c r="I16" s="108">
        <f>ROUND((SUMIF($C33:$C93,"VG",$M33:$M93)+SUMIF($C33:$C93,"WATS",$M33:$M93)+SUMIF($C33:$C93,"METAL",$M33:$M93)+SUMIF($C33:$C93,"TGR",$M33:$M93))*12,2)</f>
        <v>540000</v>
      </c>
      <c r="J16" s="176">
        <f>ROUND((SUMIF($C103:$C163,"VG",$I103:$I163)+SUMIF($C103:$C163,"WATS",$I103:$I163)+SUMIF($C103:$C163,"METAL",$I103:$I163)+SUMIF($C103:$C163,"TGR",$I103:$I163)),2)</f>
        <v>40000</v>
      </c>
      <c r="K16" s="176">
        <f>ROUND((SUMIF($C103:$C163,"VG",$J103:$J163)+SUMIF($C103:$C163,"WATS",$J103:$J163)+SUMIF($C103:$C163,"METAL",$J103:$J163)+SUMIF($C103:$C163,"TGR",$J103:$J163)),2)</f>
        <v>40000</v>
      </c>
      <c r="L16" s="176">
        <f>ROUND((SUMIF($C103:$C163,"VG",$K103:$K163)+SUMIF($C103:$C163,"WATS",$K103:$K163)+SUMIF($C103:$C163,"METAL",$K103:$K163)+SUMIF($C103:$C163,"TGR",$K103:$K163)),2)</f>
        <v>40000</v>
      </c>
      <c r="M16" s="176">
        <f>SUM(G16,J16)</f>
        <v>580000</v>
      </c>
      <c r="N16" s="176">
        <f>SUM(H16,K16)</f>
        <v>580000</v>
      </c>
      <c r="O16" s="176">
        <f>SUM(I16,L16)</f>
        <v>580000</v>
      </c>
      <c r="Q16" s="195"/>
      <c r="R16" s="58"/>
      <c r="S16" s="58"/>
      <c r="T16" s="58"/>
      <c r="U16" s="58"/>
      <c r="V16" s="58"/>
    </row>
    <row r="17" spans="1:22" x14ac:dyDescent="0.25">
      <c r="A17" s="183">
        <v>2</v>
      </c>
      <c r="B17" s="186" t="s">
        <v>38</v>
      </c>
      <c r="C17" s="38">
        <v>100</v>
      </c>
      <c r="D17" s="129">
        <f t="shared" si="1"/>
        <v>100</v>
      </c>
      <c r="E17" s="129">
        <f t="shared" ref="E17" si="2">IF(SUM(N17,O17)&lt;&gt;0,ROUND(C17*($C$9/$C$10)*1.05,4),"NA")</f>
        <v>104.6221</v>
      </c>
      <c r="F17" s="175" t="str">
        <f t="shared" ref="F17:F22" si="3">IF(D17&lt;=E17,"Pass","Fail")</f>
        <v>Pass</v>
      </c>
      <c r="G17" s="107">
        <f>ROUND((SUMIF($C33:$C93,"AV",$K33:$K93))*12,2)</f>
        <v>135000</v>
      </c>
      <c r="H17" s="178">
        <f>ROUND((SUMIF($C33:$C93,"AV",$L33:$L93))*12,2)</f>
        <v>135000</v>
      </c>
      <c r="I17" s="108">
        <f>ROUND((SUMIF($C33:$C93,"AV",$M33:$M93))*12,2)</f>
        <v>135000</v>
      </c>
      <c r="J17" s="176">
        <f>ROUND((SUMIF($C103:$C163,"AV",$I103:$I163)),2)</f>
        <v>10000</v>
      </c>
      <c r="K17" s="176">
        <f>ROUND((SUMIF($C103:$C163,"AV",$J103:$J163)),2)</f>
        <v>10000</v>
      </c>
      <c r="L17" s="176">
        <f>ROUND((SUMIF($C103:$C163,"AV",$K103:$K163)),2)</f>
        <v>10000</v>
      </c>
      <c r="M17" s="176">
        <f t="shared" ref="M17:M22" si="4">SUM(G17,J17)</f>
        <v>145000</v>
      </c>
      <c r="N17" s="176">
        <f t="shared" ref="N17:N22" si="5">SUM(H17,K17)</f>
        <v>145000</v>
      </c>
      <c r="O17" s="176">
        <f t="shared" ref="O17:O22" si="6">SUM(I17,L17)</f>
        <v>145000</v>
      </c>
    </row>
    <row r="18" spans="1:22" x14ac:dyDescent="0.25">
      <c r="A18" s="183">
        <v>3</v>
      </c>
      <c r="B18" s="186" t="s">
        <v>8</v>
      </c>
      <c r="C18" s="38">
        <v>100</v>
      </c>
      <c r="D18" s="129">
        <f>IF(SUM(N18,O18)&lt;&gt;0,ROUND((O18/N18)*C18,4),C18)</f>
        <v>100</v>
      </c>
      <c r="E18" s="129">
        <f>IF(SUM(N18,O18)&lt;&gt;0,ROUND(C18*($C$9/$C$10)*1.05,4),"NA")</f>
        <v>104.6221</v>
      </c>
      <c r="F18" s="175" t="str">
        <f t="shared" si="3"/>
        <v>Pass</v>
      </c>
      <c r="G18" s="107">
        <f>ROUND((SUMIF($C33:$C93,"DS1",$K33:$K93))*12,2)</f>
        <v>135000</v>
      </c>
      <c r="H18" s="178">
        <f>ROUND((SUMIF($C33:$C93,"DS1",$L33:$L93))*12,2)</f>
        <v>135000</v>
      </c>
      <c r="I18" s="108">
        <f>ROUND((SUMIF($C33:$C93,"DS1",$M33:$M93))*12,2)</f>
        <v>135000</v>
      </c>
      <c r="J18" s="176">
        <f>ROUND((SUMIF($C103:$C163,"DS1",$I103:$I163)),2)</f>
        <v>10000</v>
      </c>
      <c r="K18" s="176">
        <f>ROUND((SUMIF($C103:$C163,"DS1",$J103:$J163)),2)</f>
        <v>10000</v>
      </c>
      <c r="L18" s="176">
        <f>ROUND((SUMIF($C103:$C163,"DS1",$K103:$K163)),2)</f>
        <v>10000</v>
      </c>
      <c r="M18" s="176">
        <f t="shared" si="4"/>
        <v>145000</v>
      </c>
      <c r="N18" s="176">
        <f t="shared" si="5"/>
        <v>145000</v>
      </c>
      <c r="O18" s="176">
        <f t="shared" si="6"/>
        <v>145000</v>
      </c>
    </row>
    <row r="19" spans="1:22" x14ac:dyDescent="0.25">
      <c r="A19" s="183">
        <v>4</v>
      </c>
      <c r="B19" s="186" t="s">
        <v>9</v>
      </c>
      <c r="C19" s="38">
        <v>100</v>
      </c>
      <c r="D19" s="129">
        <f t="shared" ref="D19:D22" si="7">IF(SUM(N19,O19)&lt;&gt;0,ROUND((O19/N19)*C19,4),C19)</f>
        <v>100</v>
      </c>
      <c r="E19" s="129">
        <f t="shared" ref="E19:E21" si="8">IF(SUM(N19,O19)&lt;&gt;0,ROUND(C19*($C$9/$C$10)*1.05,4),"NA")</f>
        <v>104.6221</v>
      </c>
      <c r="F19" s="175" t="str">
        <f t="shared" si="3"/>
        <v>Pass</v>
      </c>
      <c r="G19" s="107">
        <f>ROUND((SUMIF($C33:$C93,"DS3",$K33:$K93))*12,2)</f>
        <v>135000</v>
      </c>
      <c r="H19" s="178">
        <f>ROUND((SUMIF($C33:$C93,"DS3",$L33:$L93))*12,2)</f>
        <v>135000</v>
      </c>
      <c r="I19" s="108">
        <f>ROUND((SUMIF($C33:$C93,"DS3",$M33:$M93))*12,2)</f>
        <v>135000</v>
      </c>
      <c r="J19" s="176">
        <f>ROUND((SUMIF($C103:$C163,"DS3",$I103:$I163)),2)</f>
        <v>10000</v>
      </c>
      <c r="K19" s="176">
        <f>ROUND((SUMIF($C103:$C163,"DS3",$J103:$J163)),2)</f>
        <v>10000</v>
      </c>
      <c r="L19" s="176">
        <f>ROUND((SUMIF($C103:$C163,"DS3",$K103:$K163)),2)</f>
        <v>10000</v>
      </c>
      <c r="M19" s="176">
        <f t="shared" si="4"/>
        <v>145000</v>
      </c>
      <c r="N19" s="176">
        <f t="shared" si="5"/>
        <v>145000</v>
      </c>
      <c r="O19" s="176">
        <f t="shared" si="6"/>
        <v>145000</v>
      </c>
      <c r="Q19" s="161"/>
    </row>
    <row r="20" spans="1:22" x14ac:dyDescent="0.25">
      <c r="A20" s="183">
        <v>5</v>
      </c>
      <c r="B20" s="186" t="s">
        <v>44</v>
      </c>
      <c r="C20" s="38">
        <v>100</v>
      </c>
      <c r="D20" s="129">
        <f t="shared" si="7"/>
        <v>100</v>
      </c>
      <c r="E20" s="129">
        <f t="shared" si="8"/>
        <v>104.6221</v>
      </c>
      <c r="F20" s="175" t="str">
        <f t="shared" si="3"/>
        <v>Pass</v>
      </c>
      <c r="G20" s="107">
        <f>ROUND((SUMIF($C33:$C93,"DS1",$K33:$K93)+SUMIF($C33:$C93,"DS3",$K33:$K93)+SUMIF($C33:$C93,"DDS",$K33:$K93))*12,2)</f>
        <v>405000</v>
      </c>
      <c r="H20" s="178">
        <f>ROUND((SUMIF($C33:$C93,"DS1",$L33:$L93)+SUMIF($C33:$C93,"DS3",$L33:$L93)+SUMIF($C33:$C93,"DDS",$L33:$L93))*12,2)</f>
        <v>405000</v>
      </c>
      <c r="I20" s="108">
        <f>ROUND((SUMIF($C33:$C93,"DS1",$M33:$M93)+SUMIF($C33:$C93,"DS3",$M33:$M93)+SUMIF($C33:$C93,"DDS",$M33:$M93))*12,2)</f>
        <v>405000</v>
      </c>
      <c r="J20" s="176">
        <f>ROUND((SUMIF($C103:$C163,"DS1",$I103:$I163)+SUMIF($C103:$C163,"DS3",$I103:$I163)+SUMIF($C103:$C163,"DDS",$I103:$I163)),2)</f>
        <v>30000</v>
      </c>
      <c r="K20" s="176">
        <f>ROUND((SUMIF($C103:$C163,"DS1",$J103:$J163)+SUMIF($C103:$C163,"DS3",$J103:$J163)+SUMIF($C103:$C163,"DDS",$J103:$J163)),2)</f>
        <v>30000</v>
      </c>
      <c r="L20" s="176">
        <f>ROUND((SUMIF($C103:$C163,"DS1",$K103:$K163)+SUMIF($C103:$C163,"DS3",$K103:$K163)+SUMIF($C103:$C163,"DDS",$K103:$K163)),2)</f>
        <v>30000</v>
      </c>
      <c r="M20" s="176">
        <f t="shared" si="4"/>
        <v>435000</v>
      </c>
      <c r="N20" s="176">
        <f t="shared" si="5"/>
        <v>435000</v>
      </c>
      <c r="O20" s="176">
        <f t="shared" si="6"/>
        <v>435000</v>
      </c>
    </row>
    <row r="21" spans="1:22" x14ac:dyDescent="0.25">
      <c r="A21" s="183">
        <v>6</v>
      </c>
      <c r="B21" s="187" t="s">
        <v>22</v>
      </c>
      <c r="C21" s="38">
        <v>100</v>
      </c>
      <c r="D21" s="129">
        <f t="shared" si="7"/>
        <v>100</v>
      </c>
      <c r="E21" s="129">
        <f t="shared" si="8"/>
        <v>104.6221</v>
      </c>
      <c r="F21" s="175" t="str">
        <f t="shared" si="3"/>
        <v>Pass</v>
      </c>
      <c r="G21" s="107">
        <f>ROUND((SUMIF($C33:$C93,"WIDE",$K33:$K93))*12,2)</f>
        <v>135000</v>
      </c>
      <c r="H21" s="178">
        <f>ROUND((SUMIF($C33:$C93,"WIDE",$L33:$L93))*12,2)</f>
        <v>135000</v>
      </c>
      <c r="I21" s="108">
        <f>ROUND((SUMIF($C33:$C82,"WIDE",$M33:$M93))*12,2)</f>
        <v>135000</v>
      </c>
      <c r="J21" s="176">
        <f>ROUND((SUMIF($C103:$C163,"WIDE",$I103:$I163)),2)</f>
        <v>10000</v>
      </c>
      <c r="K21" s="176">
        <f>ROUND((SUMIF($C103:$C163,"WIDE",$J103:$J163)),2)</f>
        <v>10000</v>
      </c>
      <c r="L21" s="176">
        <f>ROUND((SUMIF($C103:$C163,"WIDE",$K103:$K163)),2)</f>
        <v>10000</v>
      </c>
      <c r="M21" s="176">
        <f t="shared" si="4"/>
        <v>145000</v>
      </c>
      <c r="N21" s="176">
        <f t="shared" si="5"/>
        <v>145000</v>
      </c>
      <c r="O21" s="176">
        <f t="shared" si="6"/>
        <v>145000</v>
      </c>
    </row>
    <row r="22" spans="1:22" ht="15.75" thickBot="1" x14ac:dyDescent="0.3">
      <c r="A22" s="184">
        <v>7</v>
      </c>
      <c r="B22" s="188" t="s">
        <v>66</v>
      </c>
      <c r="C22" s="130">
        <v>100</v>
      </c>
      <c r="D22" s="130">
        <f t="shared" si="7"/>
        <v>100</v>
      </c>
      <c r="E22" s="130">
        <f>$C$9</f>
        <v>99.640083000000004</v>
      </c>
      <c r="F22" s="198" t="str">
        <f t="shared" si="3"/>
        <v>Fail</v>
      </c>
      <c r="G22" s="109">
        <f>ROUND(SUM(G16,G17,G20,G21,(SUMIF($C33:$C93,"MISC",$K33:$K93))*12),2)</f>
        <v>1350000</v>
      </c>
      <c r="H22" s="193">
        <f>ROUND(SUM(H16,H17,H20,H21,(SUMIF($C33:$C93,"MISC",$L33:$L93))*12),2)</f>
        <v>1350000</v>
      </c>
      <c r="I22" s="110">
        <f>ROUND(SUM(I16,I17,I20,I21,(SUMIF($C33:$C93,"MISC",$M33:$M93))*12),2)</f>
        <v>1350000</v>
      </c>
      <c r="J22" s="109">
        <f>ROUND(SUM(J16,J17,J20,J21,(SUMIF($C104:$C163,"MISC",$I104:$I163))),2)</f>
        <v>100000</v>
      </c>
      <c r="K22" s="193">
        <f>ROUND(SUM(K16,K17,K20,K21,(SUMIF($C104:$C163,"MISC",$J104:$J163))),2)</f>
        <v>100000</v>
      </c>
      <c r="L22" s="110">
        <f>ROUND(SUM(L16,L17,L20,L21,(SUMIF($C104:$C163,"MISC",$K104:$K163))),2)</f>
        <v>100000</v>
      </c>
      <c r="M22" s="177">
        <f t="shared" si="4"/>
        <v>1450000</v>
      </c>
      <c r="N22" s="177">
        <f t="shared" si="5"/>
        <v>1450000</v>
      </c>
      <c r="O22" s="177">
        <f t="shared" si="6"/>
        <v>1450000</v>
      </c>
      <c r="P22" s="227"/>
      <c r="Q22" s="58"/>
      <c r="R22" s="58"/>
      <c r="S22" s="58"/>
      <c r="T22" s="58"/>
      <c r="U22" s="58"/>
      <c r="V22" s="58"/>
    </row>
    <row r="23" spans="1:22" s="58" customFormat="1" x14ac:dyDescent="0.25">
      <c r="A23" s="57"/>
      <c r="B23" s="105"/>
      <c r="C23" s="51"/>
      <c r="D23" s="52"/>
      <c r="E23" s="53"/>
      <c r="F23" s="54"/>
      <c r="G23" s="54"/>
      <c r="H23" s="54"/>
      <c r="I23" s="54"/>
      <c r="J23" s="54"/>
      <c r="K23" s="54"/>
      <c r="L23" s="57"/>
    </row>
    <row r="24" spans="1:22" s="58" customFormat="1" x14ac:dyDescent="0.25">
      <c r="B24" s="57"/>
      <c r="C24" s="105"/>
      <c r="D24" s="51"/>
      <c r="E24" s="52"/>
      <c r="F24" s="53"/>
      <c r="G24" s="54"/>
      <c r="H24" s="54"/>
      <c r="I24" s="54"/>
      <c r="J24" s="54"/>
      <c r="K24" s="54"/>
      <c r="L24" s="54"/>
      <c r="M24" s="57"/>
    </row>
    <row r="25" spans="1:22" ht="15.75" thickBot="1" x14ac:dyDescent="0.3">
      <c r="A25" s="46"/>
      <c r="B25" s="106"/>
      <c r="C25" s="45"/>
      <c r="D25" s="59"/>
      <c r="E25" s="60"/>
      <c r="F25" s="60"/>
      <c r="G25" s="31"/>
      <c r="H25" s="15"/>
      <c r="I25" s="60"/>
      <c r="J25" s="56"/>
      <c r="K25" s="56"/>
      <c r="L25" s="56"/>
      <c r="N25" s="10"/>
      <c r="O25" s="10"/>
    </row>
    <row r="26" spans="1:22" ht="14.45" customHeight="1" x14ac:dyDescent="0.25">
      <c r="A26" s="271" t="s">
        <v>13</v>
      </c>
      <c r="B26" s="272"/>
      <c r="C26" s="272"/>
      <c r="D26" s="272"/>
      <c r="E26" s="272"/>
      <c r="F26" s="272"/>
      <c r="G26" s="272"/>
      <c r="H26" s="272"/>
      <c r="I26" s="272"/>
      <c r="J26" s="272"/>
      <c r="K26" s="272"/>
      <c r="L26" s="272"/>
      <c r="M26" s="272"/>
      <c r="N26" s="273"/>
      <c r="O26" s="61"/>
    </row>
    <row r="27" spans="1:22" ht="14.45" customHeight="1" thickBot="1" x14ac:dyDescent="0.3">
      <c r="A27" s="274"/>
      <c r="B27" s="275"/>
      <c r="C27" s="275"/>
      <c r="D27" s="275"/>
      <c r="E27" s="275"/>
      <c r="F27" s="275"/>
      <c r="G27" s="275"/>
      <c r="H27" s="275"/>
      <c r="I27" s="275"/>
      <c r="J27" s="275"/>
      <c r="K27" s="275"/>
      <c r="L27" s="275"/>
      <c r="M27" s="275"/>
      <c r="N27" s="276"/>
      <c r="O27" s="61"/>
    </row>
    <row r="28" spans="1:22" s="57" customFormat="1" ht="14.45" customHeight="1" x14ac:dyDescent="0.25">
      <c r="A28" s="62"/>
      <c r="B28" s="62"/>
      <c r="C28" s="62"/>
      <c r="D28" s="62"/>
      <c r="E28" s="62"/>
      <c r="F28" s="62"/>
      <c r="G28" s="62"/>
      <c r="H28" s="62"/>
      <c r="I28" s="62"/>
      <c r="J28" s="62"/>
      <c r="K28" s="62"/>
      <c r="L28" s="62"/>
      <c r="M28" s="62"/>
      <c r="N28" s="62"/>
      <c r="O28" s="62"/>
    </row>
    <row r="29" spans="1:22" ht="79.5" customHeight="1" x14ac:dyDescent="0.25">
      <c r="B29" s="30"/>
      <c r="C29" s="63"/>
      <c r="E29" s="65"/>
      <c r="F29" s="65"/>
      <c r="G29" s="65"/>
      <c r="H29" s="65"/>
      <c r="I29" s="65"/>
      <c r="J29" s="30"/>
      <c r="K29" s="265" t="s">
        <v>63</v>
      </c>
      <c r="L29" s="266"/>
      <c r="M29" s="267"/>
      <c r="O29" s="241"/>
      <c r="P29" s="46"/>
    </row>
    <row r="30" spans="1:22" s="47" customFormat="1" ht="279" customHeight="1" x14ac:dyDescent="0.25">
      <c r="A30" s="67" t="s">
        <v>19</v>
      </c>
      <c r="B30" s="67" t="s">
        <v>14</v>
      </c>
      <c r="C30" s="68" t="s">
        <v>1</v>
      </c>
      <c r="D30" s="69" t="s">
        <v>108</v>
      </c>
      <c r="E30" s="69" t="s">
        <v>104</v>
      </c>
      <c r="F30" s="69" t="s">
        <v>105</v>
      </c>
      <c r="G30" s="69" t="s">
        <v>57</v>
      </c>
      <c r="H30" s="70" t="s">
        <v>92</v>
      </c>
      <c r="I30" s="71" t="s">
        <v>93</v>
      </c>
      <c r="J30" s="71" t="s">
        <v>94</v>
      </c>
      <c r="K30" s="72" t="s">
        <v>106</v>
      </c>
      <c r="L30" s="72" t="s">
        <v>107</v>
      </c>
      <c r="M30" s="72" t="s">
        <v>21</v>
      </c>
      <c r="N30" s="69" t="s">
        <v>110</v>
      </c>
      <c r="O30" s="241"/>
    </row>
    <row r="31" spans="1:22" s="45" customFormat="1" x14ac:dyDescent="0.25">
      <c r="A31" s="73"/>
      <c r="B31" s="74"/>
      <c r="C31" s="67" t="str">
        <f>"Col "&amp;COLUMN(C32)+32</f>
        <v>Col 35</v>
      </c>
      <c r="D31" s="67" t="str">
        <f t="shared" ref="D31:N31" si="9">"Col "&amp;COLUMN(D32)+32</f>
        <v>Col 36</v>
      </c>
      <c r="E31" s="67" t="str">
        <f t="shared" si="9"/>
        <v>Col 37</v>
      </c>
      <c r="F31" s="67" t="str">
        <f t="shared" si="9"/>
        <v>Col 38</v>
      </c>
      <c r="G31" s="67" t="str">
        <f t="shared" si="9"/>
        <v>Col 39</v>
      </c>
      <c r="H31" s="67" t="str">
        <f t="shared" si="9"/>
        <v>Col 40</v>
      </c>
      <c r="I31" s="67" t="str">
        <f t="shared" si="9"/>
        <v>Col 41</v>
      </c>
      <c r="J31" s="67" t="str">
        <f t="shared" si="9"/>
        <v>Col 42</v>
      </c>
      <c r="K31" s="67" t="str">
        <f t="shared" si="9"/>
        <v>Col 43</v>
      </c>
      <c r="L31" s="67" t="str">
        <f t="shared" si="9"/>
        <v>Col 44</v>
      </c>
      <c r="M31" s="67" t="str">
        <f t="shared" si="9"/>
        <v>Col 45</v>
      </c>
      <c r="N31" s="67" t="str">
        <f t="shared" si="9"/>
        <v>Col 46</v>
      </c>
      <c r="O31" s="241"/>
    </row>
    <row r="32" spans="1:22" s="45" customFormat="1" ht="151.5" customHeight="1" x14ac:dyDescent="0.25">
      <c r="A32" s="67" t="s">
        <v>2</v>
      </c>
      <c r="B32" s="67" t="s">
        <v>2</v>
      </c>
      <c r="C32" s="16" t="s">
        <v>2</v>
      </c>
      <c r="D32" s="67" t="s">
        <v>2</v>
      </c>
      <c r="E32" s="75" t="s">
        <v>2</v>
      </c>
      <c r="F32" s="75" t="s">
        <v>2</v>
      </c>
      <c r="G32" s="75" t="str">
        <f>"("&amp;F31&amp;" / "&amp;E31&amp;")"&amp;" - 1"</f>
        <v>(Col 38 / Col 37) - 1</v>
      </c>
      <c r="H32" s="76" t="s">
        <v>2</v>
      </c>
      <c r="I32" s="76" t="s">
        <v>2</v>
      </c>
      <c r="J32" s="76" t="s">
        <v>2</v>
      </c>
      <c r="K32" s="75" t="str">
        <f>"(("&amp;D31&amp;" X "&amp;H31&amp;") + ("&amp;D31&amp;" X "&amp;I31&amp;" X Appropriate Discount) + ("&amp;D31&amp;" X "&amp;J31&amp;" X Appropriate Discount))"</f>
        <v>((Col 36 X Col 40) + (Col 36 X Col 41 X Appropriate Discount) + (Col 36 X Col 42 X Appropriate Discount))</v>
      </c>
      <c r="L32" s="75" t="str">
        <f>"(("&amp;E31&amp;" X "&amp;H31&amp;") + ("&amp;E31&amp;" X "&amp;I31&amp;" X Appropriate Discount) + ("&amp;E31&amp;" X "&amp;J31&amp;" X Appropriate Discount))"</f>
        <v>((Col 37 X Col 40) + (Col 37 X Col 41 X Appropriate Discount) + (Col 37 X Col 42 X Appropriate Discount))</v>
      </c>
      <c r="M32" s="75" t="str">
        <f>"(("&amp;F31&amp;" X "&amp;H31&amp;") + ("&amp;F31&amp;" X "&amp;I31&amp;" X Appropriate Discount) + ("&amp;F31&amp;" X "&amp;J31&amp;" X Appropriate Discount))"</f>
        <v>((Col 38 X Col 40) + (Col 38 X Col 41 X Appropriate Discount) + (Col 38 X Col 42 X Appropriate Discount))</v>
      </c>
      <c r="N32" s="75" t="str">
        <f>M31&amp;" - "&amp;L31</f>
        <v>Col 45 - Col 44</v>
      </c>
      <c r="O32" s="241"/>
    </row>
    <row r="33" spans="1:15" s="45" customFormat="1" x14ac:dyDescent="0.25">
      <c r="A33" s="150"/>
      <c r="B33" s="151" t="s">
        <v>31</v>
      </c>
      <c r="C33" s="151" t="s">
        <v>25</v>
      </c>
      <c r="D33" s="152"/>
      <c r="E33" s="152"/>
      <c r="F33" s="152"/>
      <c r="G33" s="152"/>
      <c r="H33" s="153"/>
      <c r="I33" s="153"/>
      <c r="J33" s="153"/>
      <c r="K33" s="154"/>
      <c r="L33" s="154"/>
      <c r="M33" s="154"/>
      <c r="N33" s="154"/>
      <c r="O33" s="241"/>
    </row>
    <row r="34" spans="1:15" s="45" customFormat="1" x14ac:dyDescent="0.25">
      <c r="A34" s="155" t="s">
        <v>144</v>
      </c>
      <c r="B34" s="155" t="s">
        <v>145</v>
      </c>
      <c r="C34" s="156" t="s">
        <v>25</v>
      </c>
      <c r="D34" s="157">
        <v>100</v>
      </c>
      <c r="E34" s="157">
        <v>100</v>
      </c>
      <c r="F34" s="83">
        <v>100</v>
      </c>
      <c r="G34" s="82">
        <f>IFERROR(ROUND(($F34/$E34)-1,3),0)</f>
        <v>0</v>
      </c>
      <c r="H34" s="158">
        <v>100</v>
      </c>
      <c r="I34" s="158">
        <v>10</v>
      </c>
      <c r="J34" s="158">
        <v>5</v>
      </c>
      <c r="K34" s="83">
        <f>IFERROR(ROUND((($D34*$H34)+($D34*$I34*0.8)+($D34*$J34*0.9)),2),0)</f>
        <v>11250</v>
      </c>
      <c r="L34" s="83">
        <f>IFERROR(ROUND((($E34*$H34)+($E34*$I34*0.8)+($E34*$J34*0.9)),2),0)</f>
        <v>11250</v>
      </c>
      <c r="M34" s="83">
        <f>IFERROR(ROUND((($F34*$H34)+($F34*$I34*0.8)+($F34*$J34*0.9)),2),0)</f>
        <v>11250</v>
      </c>
      <c r="N34" s="83">
        <f>IFERROR(ROUND($M34-$L34,2),0)</f>
        <v>0</v>
      </c>
      <c r="O34" s="242"/>
    </row>
    <row r="35" spans="1:15" s="45" customFormat="1" x14ac:dyDescent="0.25">
      <c r="A35" s="155"/>
      <c r="B35" s="155"/>
      <c r="C35" s="156"/>
      <c r="D35" s="157"/>
      <c r="E35" s="157"/>
      <c r="F35" s="83"/>
      <c r="G35" s="82">
        <f t="shared" ref="G35:G38" si="10">IFERROR(ROUND(($F35/$E35)-1,3),0)</f>
        <v>0</v>
      </c>
      <c r="H35" s="158"/>
      <c r="I35" s="158"/>
      <c r="J35" s="158"/>
      <c r="K35" s="83">
        <f t="shared" ref="K35:K38" si="11">IFERROR(ROUND((($D35*$H35)+($D35*$I35*0.8)+($D35*$J35*0.9)),2),0)</f>
        <v>0</v>
      </c>
      <c r="L35" s="83">
        <f t="shared" ref="L35:L38" si="12">IFERROR(ROUND((($E35*$H35)+($E35*$I35*0.8)+($E35*$J35*0.9)),2),0)</f>
        <v>0</v>
      </c>
      <c r="M35" s="83">
        <f t="shared" ref="M35:M38" si="13">IFERROR(ROUND((($F35*$H35)+($F35*$I35*0.8)+($F35*$J35*0.9)),2),0)</f>
        <v>0</v>
      </c>
      <c r="N35" s="83">
        <f t="shared" ref="N35:N38" si="14">IFERROR(ROUND($M35-$L35,2),0)</f>
        <v>0</v>
      </c>
      <c r="O35" s="242"/>
    </row>
    <row r="36" spans="1:15" s="45" customFormat="1" x14ac:dyDescent="0.25">
      <c r="A36" s="155"/>
      <c r="B36" s="155"/>
      <c r="C36" s="156"/>
      <c r="D36" s="157"/>
      <c r="E36" s="157"/>
      <c r="F36" s="83"/>
      <c r="G36" s="82">
        <f t="shared" si="10"/>
        <v>0</v>
      </c>
      <c r="H36" s="158"/>
      <c r="I36" s="158"/>
      <c r="J36" s="158"/>
      <c r="K36" s="83">
        <f t="shared" si="11"/>
        <v>0</v>
      </c>
      <c r="L36" s="83">
        <f t="shared" si="12"/>
        <v>0</v>
      </c>
      <c r="M36" s="83">
        <f t="shared" si="13"/>
        <v>0</v>
      </c>
      <c r="N36" s="83">
        <f t="shared" si="14"/>
        <v>0</v>
      </c>
      <c r="O36" s="242"/>
    </row>
    <row r="37" spans="1:15" s="45" customFormat="1" x14ac:dyDescent="0.25">
      <c r="A37" s="155"/>
      <c r="B37" s="155"/>
      <c r="C37" s="156"/>
      <c r="D37" s="157"/>
      <c r="E37" s="157"/>
      <c r="F37" s="83"/>
      <c r="G37" s="82">
        <f t="shared" si="10"/>
        <v>0</v>
      </c>
      <c r="H37" s="158"/>
      <c r="I37" s="158"/>
      <c r="J37" s="158"/>
      <c r="K37" s="83">
        <f t="shared" si="11"/>
        <v>0</v>
      </c>
      <c r="L37" s="83">
        <f t="shared" si="12"/>
        <v>0</v>
      </c>
      <c r="M37" s="83">
        <f t="shared" si="13"/>
        <v>0</v>
      </c>
      <c r="N37" s="83">
        <f t="shared" si="14"/>
        <v>0</v>
      </c>
      <c r="O37" s="242"/>
    </row>
    <row r="38" spans="1:15" s="45" customFormat="1" x14ac:dyDescent="0.25">
      <c r="A38" s="155"/>
      <c r="B38" s="155"/>
      <c r="C38" s="156"/>
      <c r="D38" s="157"/>
      <c r="E38" s="157"/>
      <c r="F38" s="83"/>
      <c r="G38" s="82">
        <f t="shared" si="10"/>
        <v>0</v>
      </c>
      <c r="H38" s="158"/>
      <c r="I38" s="158"/>
      <c r="J38" s="158"/>
      <c r="K38" s="83">
        <f t="shared" si="11"/>
        <v>0</v>
      </c>
      <c r="L38" s="83">
        <f t="shared" si="12"/>
        <v>0</v>
      </c>
      <c r="M38" s="83">
        <f t="shared" si="13"/>
        <v>0</v>
      </c>
      <c r="N38" s="83">
        <f t="shared" si="14"/>
        <v>0</v>
      </c>
      <c r="O38" s="242"/>
    </row>
    <row r="39" spans="1:15" s="45" customFormat="1" x14ac:dyDescent="0.25">
      <c r="A39" s="150"/>
      <c r="B39" s="151" t="s">
        <v>30</v>
      </c>
      <c r="C39" s="151" t="s">
        <v>26</v>
      </c>
      <c r="D39" s="152"/>
      <c r="E39" s="152"/>
      <c r="F39" s="152"/>
      <c r="G39" s="152"/>
      <c r="H39" s="153"/>
      <c r="I39" s="153"/>
      <c r="J39" s="153"/>
      <c r="K39" s="154"/>
      <c r="L39" s="154"/>
      <c r="M39" s="154"/>
      <c r="N39" s="154"/>
      <c r="O39" s="242"/>
    </row>
    <row r="40" spans="1:15" s="45" customFormat="1" x14ac:dyDescent="0.25">
      <c r="A40" s="77" t="s">
        <v>144</v>
      </c>
      <c r="B40" s="78" t="s">
        <v>146</v>
      </c>
      <c r="C40" s="80" t="s">
        <v>26</v>
      </c>
      <c r="D40" s="81">
        <v>100</v>
      </c>
      <c r="E40" s="81">
        <v>100</v>
      </c>
      <c r="F40" s="81">
        <v>100</v>
      </c>
      <c r="G40" s="82">
        <f t="shared" ref="G40:G44" si="15">IFERROR(ROUND(($F40/$E40)-1,3),0)</f>
        <v>0</v>
      </c>
      <c r="H40" s="158">
        <v>100</v>
      </c>
      <c r="I40" s="158">
        <v>10</v>
      </c>
      <c r="J40" s="158">
        <v>5</v>
      </c>
      <c r="K40" s="83">
        <f t="shared" ref="K40:K44" si="16">IFERROR(ROUND((($D40*$H40)+($D40*$I40*0.8)+($D40*$J40*0.9)),2),0)</f>
        <v>11250</v>
      </c>
      <c r="L40" s="83">
        <f t="shared" ref="L40:L44" si="17">IFERROR(ROUND((($E40*$H40)+($E40*$I40*0.8)+($E40*$J40*0.9)),2),0)</f>
        <v>11250</v>
      </c>
      <c r="M40" s="83">
        <f t="shared" ref="M40:M44" si="18">IFERROR(ROUND((($F40*$H40)+($F40*$I40*0.8)+($F40*$J40*0.9)),2),0)</f>
        <v>11250</v>
      </c>
      <c r="N40" s="83">
        <f t="shared" ref="N40:N44" si="19">IFERROR(ROUND($M40-$L40,2),0)</f>
        <v>0</v>
      </c>
      <c r="O40" s="242"/>
    </row>
    <row r="41" spans="1:15" s="45" customFormat="1" x14ac:dyDescent="0.25">
      <c r="A41" s="77"/>
      <c r="B41" s="78"/>
      <c r="C41" s="80"/>
      <c r="D41" s="81"/>
      <c r="E41" s="81"/>
      <c r="F41" s="81"/>
      <c r="G41" s="82">
        <f t="shared" si="15"/>
        <v>0</v>
      </c>
      <c r="H41" s="79"/>
      <c r="I41" s="79"/>
      <c r="J41" s="79"/>
      <c r="K41" s="83">
        <f t="shared" si="16"/>
        <v>0</v>
      </c>
      <c r="L41" s="83">
        <f t="shared" si="17"/>
        <v>0</v>
      </c>
      <c r="M41" s="83">
        <f t="shared" si="18"/>
        <v>0</v>
      </c>
      <c r="N41" s="83">
        <f t="shared" si="19"/>
        <v>0</v>
      </c>
      <c r="O41" s="242"/>
    </row>
    <row r="42" spans="1:15" s="45" customFormat="1" x14ac:dyDescent="0.25">
      <c r="A42" s="77"/>
      <c r="B42" s="78"/>
      <c r="C42" s="80"/>
      <c r="D42" s="81"/>
      <c r="E42" s="81"/>
      <c r="F42" s="81"/>
      <c r="G42" s="82">
        <f t="shared" si="15"/>
        <v>0</v>
      </c>
      <c r="H42" s="79"/>
      <c r="I42" s="79"/>
      <c r="J42" s="79"/>
      <c r="K42" s="83">
        <f t="shared" si="16"/>
        <v>0</v>
      </c>
      <c r="L42" s="83">
        <f t="shared" si="17"/>
        <v>0</v>
      </c>
      <c r="M42" s="83">
        <f t="shared" si="18"/>
        <v>0</v>
      </c>
      <c r="N42" s="83">
        <f t="shared" si="19"/>
        <v>0</v>
      </c>
      <c r="O42" s="242"/>
    </row>
    <row r="43" spans="1:15" s="45" customFormat="1" x14ac:dyDescent="0.25">
      <c r="A43" s="77"/>
      <c r="B43" s="78"/>
      <c r="C43" s="80"/>
      <c r="D43" s="81"/>
      <c r="E43" s="81"/>
      <c r="F43" s="81"/>
      <c r="G43" s="82">
        <f t="shared" si="15"/>
        <v>0</v>
      </c>
      <c r="H43" s="79"/>
      <c r="I43" s="79"/>
      <c r="J43" s="79"/>
      <c r="K43" s="83">
        <f t="shared" si="16"/>
        <v>0</v>
      </c>
      <c r="L43" s="83">
        <f t="shared" si="17"/>
        <v>0</v>
      </c>
      <c r="M43" s="83">
        <f t="shared" si="18"/>
        <v>0</v>
      </c>
      <c r="N43" s="83">
        <f t="shared" si="19"/>
        <v>0</v>
      </c>
      <c r="O43" s="242"/>
    </row>
    <row r="44" spans="1:15" s="45" customFormat="1" x14ac:dyDescent="0.25">
      <c r="A44" s="77"/>
      <c r="B44" s="78"/>
      <c r="C44" s="80"/>
      <c r="D44" s="81"/>
      <c r="E44" s="81"/>
      <c r="F44" s="81"/>
      <c r="G44" s="82">
        <f t="shared" si="15"/>
        <v>0</v>
      </c>
      <c r="H44" s="79"/>
      <c r="I44" s="79"/>
      <c r="J44" s="79"/>
      <c r="K44" s="83">
        <f t="shared" si="16"/>
        <v>0</v>
      </c>
      <c r="L44" s="83">
        <f t="shared" si="17"/>
        <v>0</v>
      </c>
      <c r="M44" s="83">
        <f t="shared" si="18"/>
        <v>0</v>
      </c>
      <c r="N44" s="83">
        <f t="shared" si="19"/>
        <v>0</v>
      </c>
      <c r="O44" s="242"/>
    </row>
    <row r="45" spans="1:15" s="45" customFormat="1" x14ac:dyDescent="0.25">
      <c r="A45" s="150"/>
      <c r="B45" s="151" t="s">
        <v>29</v>
      </c>
      <c r="C45" s="151" t="s">
        <v>27</v>
      </c>
      <c r="D45" s="152"/>
      <c r="E45" s="152"/>
      <c r="F45" s="152"/>
      <c r="G45" s="152"/>
      <c r="H45" s="153"/>
      <c r="I45" s="153"/>
      <c r="J45" s="153"/>
      <c r="K45" s="154"/>
      <c r="L45" s="154"/>
      <c r="M45" s="154"/>
      <c r="N45" s="154"/>
      <c r="O45" s="242"/>
    </row>
    <row r="46" spans="1:15" s="45" customFormat="1" x14ac:dyDescent="0.25">
      <c r="A46" s="155" t="s">
        <v>144</v>
      </c>
      <c r="B46" s="155" t="s">
        <v>148</v>
      </c>
      <c r="C46" s="156" t="s">
        <v>27</v>
      </c>
      <c r="D46" s="157">
        <v>100</v>
      </c>
      <c r="E46" s="157">
        <v>100</v>
      </c>
      <c r="F46" s="83">
        <v>100</v>
      </c>
      <c r="G46" s="82">
        <f t="shared" ref="G46:G50" si="20">IFERROR(ROUND(($F46/$E46)-1,3),0)</f>
        <v>0</v>
      </c>
      <c r="H46" s="158">
        <v>100</v>
      </c>
      <c r="I46" s="158">
        <v>10</v>
      </c>
      <c r="J46" s="158">
        <v>5</v>
      </c>
      <c r="K46" s="83">
        <f t="shared" ref="K46:K50" si="21">IFERROR(ROUND((($D46*$H46)+($D46*$I46*0.8)+($D46*$J46*0.9)),2),0)</f>
        <v>11250</v>
      </c>
      <c r="L46" s="83">
        <f t="shared" ref="L46:L50" si="22">IFERROR(ROUND((($E46*$H46)+($E46*$I46*0.8)+($E46*$J46*0.9)),2),0)</f>
        <v>11250</v>
      </c>
      <c r="M46" s="83">
        <f t="shared" ref="M46:M50" si="23">IFERROR(ROUND((($F46*$H46)+($F46*$I46*0.8)+($F46*$J46*0.9)),2),0)</f>
        <v>11250</v>
      </c>
      <c r="N46" s="83">
        <f t="shared" ref="N46:N50" si="24">IFERROR(ROUND($M46-$L46,2),0)</f>
        <v>0</v>
      </c>
      <c r="O46" s="242"/>
    </row>
    <row r="47" spans="1:15" s="45" customFormat="1" x14ac:dyDescent="0.25">
      <c r="A47" s="155"/>
      <c r="B47" s="155"/>
      <c r="C47" s="156"/>
      <c r="D47" s="157"/>
      <c r="E47" s="157"/>
      <c r="F47" s="83"/>
      <c r="G47" s="82">
        <f t="shared" si="20"/>
        <v>0</v>
      </c>
      <c r="H47" s="158"/>
      <c r="I47" s="158"/>
      <c r="J47" s="158"/>
      <c r="K47" s="83">
        <f t="shared" si="21"/>
        <v>0</v>
      </c>
      <c r="L47" s="83">
        <f t="shared" si="22"/>
        <v>0</v>
      </c>
      <c r="M47" s="83">
        <f t="shared" si="23"/>
        <v>0</v>
      </c>
      <c r="N47" s="83">
        <f t="shared" si="24"/>
        <v>0</v>
      </c>
      <c r="O47" s="242"/>
    </row>
    <row r="48" spans="1:15" s="45" customFormat="1" x14ac:dyDescent="0.25">
      <c r="A48" s="155"/>
      <c r="B48" s="155"/>
      <c r="C48" s="156"/>
      <c r="D48" s="157"/>
      <c r="E48" s="157"/>
      <c r="F48" s="83"/>
      <c r="G48" s="82">
        <f t="shared" si="20"/>
        <v>0</v>
      </c>
      <c r="H48" s="158"/>
      <c r="I48" s="158"/>
      <c r="J48" s="158"/>
      <c r="K48" s="83">
        <f t="shared" si="21"/>
        <v>0</v>
      </c>
      <c r="L48" s="83">
        <f t="shared" si="22"/>
        <v>0</v>
      </c>
      <c r="M48" s="83">
        <f t="shared" si="23"/>
        <v>0</v>
      </c>
      <c r="N48" s="83">
        <f t="shared" si="24"/>
        <v>0</v>
      </c>
      <c r="O48" s="242"/>
    </row>
    <row r="49" spans="1:15" s="45" customFormat="1" x14ac:dyDescent="0.25">
      <c r="A49" s="155"/>
      <c r="B49" s="155"/>
      <c r="C49" s="156"/>
      <c r="D49" s="157"/>
      <c r="E49" s="157"/>
      <c r="F49" s="83"/>
      <c r="G49" s="82">
        <f t="shared" si="20"/>
        <v>0</v>
      </c>
      <c r="H49" s="158"/>
      <c r="I49" s="158"/>
      <c r="J49" s="158"/>
      <c r="K49" s="83">
        <f t="shared" si="21"/>
        <v>0</v>
      </c>
      <c r="L49" s="83">
        <f t="shared" si="22"/>
        <v>0</v>
      </c>
      <c r="M49" s="83">
        <f t="shared" si="23"/>
        <v>0</v>
      </c>
      <c r="N49" s="83">
        <f t="shared" si="24"/>
        <v>0</v>
      </c>
      <c r="O49" s="242"/>
    </row>
    <row r="50" spans="1:15" s="45" customFormat="1" x14ac:dyDescent="0.25">
      <c r="A50" s="155"/>
      <c r="B50" s="155"/>
      <c r="C50" s="156"/>
      <c r="D50" s="157"/>
      <c r="E50" s="157"/>
      <c r="F50" s="83"/>
      <c r="G50" s="82">
        <f t="shared" si="20"/>
        <v>0</v>
      </c>
      <c r="H50" s="158"/>
      <c r="I50" s="158"/>
      <c r="J50" s="158"/>
      <c r="K50" s="83">
        <f t="shared" si="21"/>
        <v>0</v>
      </c>
      <c r="L50" s="83">
        <f t="shared" si="22"/>
        <v>0</v>
      </c>
      <c r="M50" s="83">
        <f t="shared" si="23"/>
        <v>0</v>
      </c>
      <c r="N50" s="83">
        <f t="shared" si="24"/>
        <v>0</v>
      </c>
      <c r="O50" s="242"/>
    </row>
    <row r="51" spans="1:15" s="45" customFormat="1" x14ac:dyDescent="0.25">
      <c r="A51" s="150"/>
      <c r="B51" s="151" t="s">
        <v>28</v>
      </c>
      <c r="C51" s="151" t="s">
        <v>43</v>
      </c>
      <c r="D51" s="152"/>
      <c r="E51" s="152"/>
      <c r="F51" s="152"/>
      <c r="G51" s="152"/>
      <c r="H51" s="153"/>
      <c r="I51" s="153"/>
      <c r="J51" s="153"/>
      <c r="K51" s="154"/>
      <c r="L51" s="154"/>
      <c r="M51" s="154"/>
      <c r="N51" s="154"/>
      <c r="O51" s="242"/>
    </row>
    <row r="52" spans="1:15" s="45" customFormat="1" x14ac:dyDescent="0.25">
      <c r="A52" s="155" t="s">
        <v>144</v>
      </c>
      <c r="B52" s="155" t="s">
        <v>147</v>
      </c>
      <c r="C52" s="156" t="s">
        <v>43</v>
      </c>
      <c r="D52" s="157">
        <v>100</v>
      </c>
      <c r="E52" s="157">
        <v>100</v>
      </c>
      <c r="F52" s="83">
        <v>100</v>
      </c>
      <c r="G52" s="82">
        <f t="shared" ref="G52:G56" si="25">IFERROR(ROUND(($F52/$E52)-1,3),0)</f>
        <v>0</v>
      </c>
      <c r="H52" s="158">
        <v>100</v>
      </c>
      <c r="I52" s="158">
        <v>10</v>
      </c>
      <c r="J52" s="158">
        <v>5</v>
      </c>
      <c r="K52" s="83">
        <f t="shared" ref="K52:K56" si="26">IFERROR(ROUND((($D52*$H52)+($D52*$I52*0.8)+($D52*$J52*0.9)),2),0)</f>
        <v>11250</v>
      </c>
      <c r="L52" s="83">
        <f t="shared" ref="L52:L56" si="27">IFERROR(ROUND((($E52*$H52)+($E52*$I52*0.8)+($E52*$J52*0.9)),2),0)</f>
        <v>11250</v>
      </c>
      <c r="M52" s="83">
        <f t="shared" ref="M52:M56" si="28">IFERROR(ROUND((($F52*$H52)+($F52*$I52*0.8)+($F52*$J52*0.9)),2),0)</f>
        <v>11250</v>
      </c>
      <c r="N52" s="83">
        <f t="shared" ref="N52:N56" si="29">IFERROR(ROUND($M52-$L52,2),0)</f>
        <v>0</v>
      </c>
      <c r="O52" s="242"/>
    </row>
    <row r="53" spans="1:15" s="45" customFormat="1" x14ac:dyDescent="0.25">
      <c r="A53" s="155"/>
      <c r="B53" s="155"/>
      <c r="C53" s="156"/>
      <c r="D53" s="157"/>
      <c r="E53" s="157"/>
      <c r="F53" s="83"/>
      <c r="G53" s="82">
        <f t="shared" si="25"/>
        <v>0</v>
      </c>
      <c r="H53" s="158"/>
      <c r="I53" s="158"/>
      <c r="J53" s="158"/>
      <c r="K53" s="83">
        <f t="shared" si="26"/>
        <v>0</v>
      </c>
      <c r="L53" s="83">
        <f t="shared" si="27"/>
        <v>0</v>
      </c>
      <c r="M53" s="83">
        <f t="shared" si="28"/>
        <v>0</v>
      </c>
      <c r="N53" s="83">
        <f t="shared" si="29"/>
        <v>0</v>
      </c>
      <c r="O53" s="242"/>
    </row>
    <row r="54" spans="1:15" s="45" customFormat="1" x14ac:dyDescent="0.25">
      <c r="A54" s="155"/>
      <c r="B54" s="155"/>
      <c r="C54" s="156"/>
      <c r="D54" s="157"/>
      <c r="E54" s="157"/>
      <c r="F54" s="83"/>
      <c r="G54" s="82">
        <f t="shared" si="25"/>
        <v>0</v>
      </c>
      <c r="H54" s="158"/>
      <c r="I54" s="158"/>
      <c r="J54" s="158"/>
      <c r="K54" s="83">
        <f t="shared" si="26"/>
        <v>0</v>
      </c>
      <c r="L54" s="83">
        <f t="shared" si="27"/>
        <v>0</v>
      </c>
      <c r="M54" s="83">
        <f t="shared" si="28"/>
        <v>0</v>
      </c>
      <c r="N54" s="83">
        <f t="shared" si="29"/>
        <v>0</v>
      </c>
      <c r="O54" s="242"/>
    </row>
    <row r="55" spans="1:15" s="45" customFormat="1" x14ac:dyDescent="0.25">
      <c r="A55" s="155"/>
      <c r="B55" s="155"/>
      <c r="C55" s="156"/>
      <c r="D55" s="157"/>
      <c r="E55" s="157"/>
      <c r="F55" s="83"/>
      <c r="G55" s="82">
        <f t="shared" si="25"/>
        <v>0</v>
      </c>
      <c r="H55" s="158"/>
      <c r="I55" s="158"/>
      <c r="J55" s="158"/>
      <c r="K55" s="83">
        <f t="shared" si="26"/>
        <v>0</v>
      </c>
      <c r="L55" s="83">
        <f t="shared" si="27"/>
        <v>0</v>
      </c>
      <c r="M55" s="83">
        <f t="shared" si="28"/>
        <v>0</v>
      </c>
      <c r="N55" s="83">
        <f t="shared" si="29"/>
        <v>0</v>
      </c>
      <c r="O55" s="242"/>
    </row>
    <row r="56" spans="1:15" s="45" customFormat="1" x14ac:dyDescent="0.25">
      <c r="A56" s="155"/>
      <c r="B56" s="155"/>
      <c r="C56" s="156"/>
      <c r="D56" s="157"/>
      <c r="E56" s="157"/>
      <c r="F56" s="83"/>
      <c r="G56" s="82">
        <f t="shared" si="25"/>
        <v>0</v>
      </c>
      <c r="H56" s="158"/>
      <c r="I56" s="158"/>
      <c r="J56" s="158"/>
      <c r="K56" s="83">
        <f t="shared" si="26"/>
        <v>0</v>
      </c>
      <c r="L56" s="83">
        <f t="shared" si="27"/>
        <v>0</v>
      </c>
      <c r="M56" s="83">
        <f t="shared" si="28"/>
        <v>0</v>
      </c>
      <c r="N56" s="83">
        <f t="shared" si="29"/>
        <v>0</v>
      </c>
      <c r="O56" s="242"/>
    </row>
    <row r="57" spans="1:15" s="45" customFormat="1" x14ac:dyDescent="0.25">
      <c r="A57" s="150"/>
      <c r="B57" s="151" t="s">
        <v>32</v>
      </c>
      <c r="C57" s="151" t="s">
        <v>33</v>
      </c>
      <c r="D57" s="152"/>
      <c r="E57" s="152"/>
      <c r="F57" s="152"/>
      <c r="G57" s="152"/>
      <c r="H57" s="153"/>
      <c r="I57" s="153"/>
      <c r="J57" s="153"/>
      <c r="K57" s="154"/>
      <c r="L57" s="154"/>
      <c r="M57" s="154"/>
      <c r="N57" s="154"/>
      <c r="O57" s="242"/>
    </row>
    <row r="58" spans="1:15" s="45" customFormat="1" x14ac:dyDescent="0.25">
      <c r="A58" s="155" t="s">
        <v>144</v>
      </c>
      <c r="B58" s="155" t="s">
        <v>149</v>
      </c>
      <c r="C58" s="156" t="s">
        <v>33</v>
      </c>
      <c r="D58" s="157">
        <v>100</v>
      </c>
      <c r="E58" s="157">
        <v>100</v>
      </c>
      <c r="F58" s="83">
        <v>100</v>
      </c>
      <c r="G58" s="82">
        <f t="shared" ref="G58:G62" si="30">IFERROR(ROUND(($F58/$E58)-1,3),0)</f>
        <v>0</v>
      </c>
      <c r="H58" s="158">
        <v>100</v>
      </c>
      <c r="I58" s="158">
        <v>10</v>
      </c>
      <c r="J58" s="158">
        <v>5</v>
      </c>
      <c r="K58" s="83">
        <f t="shared" ref="K58:K62" si="31">IFERROR(ROUND((($D58*$H58)+($D58*$I58*0.8)+($D58*$J58*0.9)),2),0)</f>
        <v>11250</v>
      </c>
      <c r="L58" s="83">
        <f t="shared" ref="L58:L62" si="32">IFERROR(ROUND((($E58*$H58)+($E58*$I58*0.8)+($E58*$J58*0.9)),2),0)</f>
        <v>11250</v>
      </c>
      <c r="M58" s="83">
        <f t="shared" ref="M58:M62" si="33">IFERROR(ROUND((($F58*$H58)+($F58*$I58*0.8)+($F58*$J58*0.9)),2),0)</f>
        <v>11250</v>
      </c>
      <c r="N58" s="83">
        <f t="shared" ref="N58:N62" si="34">IFERROR(ROUND($M58-$L58,2),0)</f>
        <v>0</v>
      </c>
      <c r="O58" s="242"/>
    </row>
    <row r="59" spans="1:15" s="45" customFormat="1" x14ac:dyDescent="0.25">
      <c r="A59" s="155"/>
      <c r="B59" s="155"/>
      <c r="C59" s="156"/>
      <c r="D59" s="157"/>
      <c r="E59" s="157"/>
      <c r="F59" s="83"/>
      <c r="G59" s="82">
        <f t="shared" si="30"/>
        <v>0</v>
      </c>
      <c r="H59" s="158"/>
      <c r="I59" s="158"/>
      <c r="J59" s="158"/>
      <c r="K59" s="83">
        <f t="shared" si="31"/>
        <v>0</v>
      </c>
      <c r="L59" s="83">
        <f t="shared" si="32"/>
        <v>0</v>
      </c>
      <c r="M59" s="83">
        <f t="shared" si="33"/>
        <v>0</v>
      </c>
      <c r="N59" s="83">
        <f t="shared" si="34"/>
        <v>0</v>
      </c>
      <c r="O59" s="242"/>
    </row>
    <row r="60" spans="1:15" s="45" customFormat="1" x14ac:dyDescent="0.25">
      <c r="A60" s="155"/>
      <c r="B60" s="155"/>
      <c r="C60" s="156"/>
      <c r="D60" s="157"/>
      <c r="E60" s="157"/>
      <c r="F60" s="83"/>
      <c r="G60" s="82">
        <f t="shared" si="30"/>
        <v>0</v>
      </c>
      <c r="H60" s="158"/>
      <c r="I60" s="158"/>
      <c r="J60" s="158"/>
      <c r="K60" s="83">
        <f t="shared" si="31"/>
        <v>0</v>
      </c>
      <c r="L60" s="83">
        <f t="shared" si="32"/>
        <v>0</v>
      </c>
      <c r="M60" s="83">
        <f t="shared" si="33"/>
        <v>0</v>
      </c>
      <c r="N60" s="83">
        <f t="shared" si="34"/>
        <v>0</v>
      </c>
      <c r="O60" s="243"/>
    </row>
    <row r="61" spans="1:15" s="45" customFormat="1" x14ac:dyDescent="0.25">
      <c r="A61" s="155"/>
      <c r="B61" s="155"/>
      <c r="C61" s="156"/>
      <c r="D61" s="157"/>
      <c r="E61" s="157"/>
      <c r="F61" s="83"/>
      <c r="G61" s="82">
        <f t="shared" si="30"/>
        <v>0</v>
      </c>
      <c r="H61" s="158"/>
      <c r="I61" s="158"/>
      <c r="J61" s="158"/>
      <c r="K61" s="83">
        <f t="shared" si="31"/>
        <v>0</v>
      </c>
      <c r="L61" s="83">
        <f t="shared" si="32"/>
        <v>0</v>
      </c>
      <c r="M61" s="83">
        <f t="shared" si="33"/>
        <v>0</v>
      </c>
      <c r="N61" s="83">
        <f t="shared" si="34"/>
        <v>0</v>
      </c>
      <c r="O61" s="242"/>
    </row>
    <row r="62" spans="1:15" s="45" customFormat="1" x14ac:dyDescent="0.25">
      <c r="A62" s="155"/>
      <c r="B62" s="155"/>
      <c r="C62" s="156"/>
      <c r="D62" s="157"/>
      <c r="E62" s="157"/>
      <c r="F62" s="83"/>
      <c r="G62" s="82">
        <f t="shared" si="30"/>
        <v>0</v>
      </c>
      <c r="H62" s="158"/>
      <c r="I62" s="158"/>
      <c r="J62" s="158"/>
      <c r="K62" s="83">
        <f t="shared" si="31"/>
        <v>0</v>
      </c>
      <c r="L62" s="83">
        <f t="shared" si="32"/>
        <v>0</v>
      </c>
      <c r="M62" s="83">
        <f t="shared" si="33"/>
        <v>0</v>
      </c>
      <c r="N62" s="83">
        <f t="shared" si="34"/>
        <v>0</v>
      </c>
      <c r="O62" s="243"/>
    </row>
    <row r="63" spans="1:15" s="45" customFormat="1" x14ac:dyDescent="0.25">
      <c r="A63" s="150"/>
      <c r="B63" s="151" t="s">
        <v>34</v>
      </c>
      <c r="C63" s="151" t="s">
        <v>35</v>
      </c>
      <c r="D63" s="152"/>
      <c r="E63" s="152"/>
      <c r="F63" s="152"/>
      <c r="G63" s="152"/>
      <c r="H63" s="153"/>
      <c r="I63" s="153"/>
      <c r="J63" s="153"/>
      <c r="K63" s="154"/>
      <c r="L63" s="154"/>
      <c r="M63" s="154"/>
      <c r="N63" s="154"/>
      <c r="O63" s="243"/>
    </row>
    <row r="64" spans="1:15" s="45" customFormat="1" x14ac:dyDescent="0.25">
      <c r="A64" s="155" t="s">
        <v>144</v>
      </c>
      <c r="B64" s="155" t="s">
        <v>150</v>
      </c>
      <c r="C64" s="156" t="s">
        <v>35</v>
      </c>
      <c r="D64" s="157">
        <v>100</v>
      </c>
      <c r="E64" s="157">
        <v>100</v>
      </c>
      <c r="F64" s="83">
        <v>100</v>
      </c>
      <c r="G64" s="82">
        <f t="shared" ref="G64:G68" si="35">IFERROR(ROUND(($F64/$E64)-1,3),0)</f>
        <v>0</v>
      </c>
      <c r="H64" s="158">
        <v>100</v>
      </c>
      <c r="I64" s="158">
        <v>10</v>
      </c>
      <c r="J64" s="158">
        <v>5</v>
      </c>
      <c r="K64" s="83">
        <f t="shared" ref="K64:K68" si="36">IFERROR(ROUND((($D64*$H64)+($D64*$I64*0.8)+($D64*$J64*0.9)),2),0)</f>
        <v>11250</v>
      </c>
      <c r="L64" s="83">
        <f t="shared" ref="L64:L68" si="37">IFERROR(ROUND((($E64*$H64)+($E64*$I64*0.8)+($E64*$J64*0.9)),2),0)</f>
        <v>11250</v>
      </c>
      <c r="M64" s="83">
        <f t="shared" ref="M64:M68" si="38">IFERROR(ROUND((($F64*$H64)+($F64*$I64*0.8)+($F64*$J64*0.9)),2),0)</f>
        <v>11250</v>
      </c>
      <c r="N64" s="83">
        <f t="shared" ref="N64:N68" si="39">IFERROR(ROUND($M64-$L64,2),0)</f>
        <v>0</v>
      </c>
      <c r="O64" s="242"/>
    </row>
    <row r="65" spans="1:15" s="45" customFormat="1" x14ac:dyDescent="0.25">
      <c r="A65" s="155"/>
      <c r="B65" s="155"/>
      <c r="C65" s="156"/>
      <c r="D65" s="157"/>
      <c r="E65" s="157"/>
      <c r="F65" s="83"/>
      <c r="G65" s="82">
        <f t="shared" si="35"/>
        <v>0</v>
      </c>
      <c r="H65" s="158"/>
      <c r="I65" s="158"/>
      <c r="J65" s="158"/>
      <c r="K65" s="83">
        <f t="shared" si="36"/>
        <v>0</v>
      </c>
      <c r="L65" s="83">
        <f t="shared" si="37"/>
        <v>0</v>
      </c>
      <c r="M65" s="83">
        <f t="shared" si="38"/>
        <v>0</v>
      </c>
      <c r="N65" s="83">
        <f t="shared" si="39"/>
        <v>0</v>
      </c>
      <c r="O65" s="242"/>
    </row>
    <row r="66" spans="1:15" s="45" customFormat="1" x14ac:dyDescent="0.25">
      <c r="A66" s="155"/>
      <c r="B66" s="155"/>
      <c r="C66" s="156"/>
      <c r="D66" s="157"/>
      <c r="E66" s="157"/>
      <c r="F66" s="83"/>
      <c r="G66" s="82">
        <f t="shared" si="35"/>
        <v>0</v>
      </c>
      <c r="H66" s="158"/>
      <c r="I66" s="158"/>
      <c r="J66" s="158"/>
      <c r="K66" s="83">
        <f t="shared" si="36"/>
        <v>0</v>
      </c>
      <c r="L66" s="83">
        <f t="shared" si="37"/>
        <v>0</v>
      </c>
      <c r="M66" s="83">
        <f t="shared" si="38"/>
        <v>0</v>
      </c>
      <c r="N66" s="83">
        <f t="shared" si="39"/>
        <v>0</v>
      </c>
      <c r="O66" s="242"/>
    </row>
    <row r="67" spans="1:15" s="45" customFormat="1" x14ac:dyDescent="0.25">
      <c r="A67" s="155"/>
      <c r="B67" s="155"/>
      <c r="C67" s="156"/>
      <c r="D67" s="157"/>
      <c r="E67" s="157"/>
      <c r="F67" s="83"/>
      <c r="G67" s="82">
        <f t="shared" si="35"/>
        <v>0</v>
      </c>
      <c r="H67" s="158"/>
      <c r="I67" s="158"/>
      <c r="J67" s="158"/>
      <c r="K67" s="83">
        <f t="shared" si="36"/>
        <v>0</v>
      </c>
      <c r="L67" s="83">
        <f t="shared" si="37"/>
        <v>0</v>
      </c>
      <c r="M67" s="83">
        <f t="shared" si="38"/>
        <v>0</v>
      </c>
      <c r="N67" s="83">
        <f t="shared" si="39"/>
        <v>0</v>
      </c>
      <c r="O67" s="242"/>
    </row>
    <row r="68" spans="1:15" s="45" customFormat="1" x14ac:dyDescent="0.25">
      <c r="A68" s="155"/>
      <c r="B68" s="155"/>
      <c r="C68" s="156"/>
      <c r="D68" s="157"/>
      <c r="E68" s="157"/>
      <c r="F68" s="83"/>
      <c r="G68" s="82">
        <f t="shared" si="35"/>
        <v>0</v>
      </c>
      <c r="H68" s="158"/>
      <c r="I68" s="158"/>
      <c r="J68" s="158"/>
      <c r="K68" s="83">
        <f t="shared" si="36"/>
        <v>0</v>
      </c>
      <c r="L68" s="83">
        <f t="shared" si="37"/>
        <v>0</v>
      </c>
      <c r="M68" s="83">
        <f t="shared" si="38"/>
        <v>0</v>
      </c>
      <c r="N68" s="83">
        <f t="shared" si="39"/>
        <v>0</v>
      </c>
      <c r="O68" s="242"/>
    </row>
    <row r="69" spans="1:15" s="45" customFormat="1" x14ac:dyDescent="0.25">
      <c r="A69" s="150"/>
      <c r="B69" s="151" t="s">
        <v>36</v>
      </c>
      <c r="C69" s="151" t="s">
        <v>37</v>
      </c>
      <c r="D69" s="152"/>
      <c r="E69" s="152"/>
      <c r="F69" s="152"/>
      <c r="G69" s="152"/>
      <c r="H69" s="153"/>
      <c r="I69" s="153"/>
      <c r="J69" s="153"/>
      <c r="K69" s="154"/>
      <c r="L69" s="154"/>
      <c r="M69" s="154"/>
      <c r="N69" s="154"/>
      <c r="O69" s="242"/>
    </row>
    <row r="70" spans="1:15" s="45" customFormat="1" x14ac:dyDescent="0.25">
      <c r="A70" s="155" t="s">
        <v>144</v>
      </c>
      <c r="B70" s="155" t="s">
        <v>151</v>
      </c>
      <c r="C70" s="156" t="s">
        <v>37</v>
      </c>
      <c r="D70" s="157">
        <v>100</v>
      </c>
      <c r="E70" s="157">
        <v>100</v>
      </c>
      <c r="F70" s="83">
        <v>100</v>
      </c>
      <c r="G70" s="82">
        <f t="shared" ref="G70:G74" si="40">IFERROR(ROUND(($F70/$E70)-1,3),0)</f>
        <v>0</v>
      </c>
      <c r="H70" s="158">
        <v>100</v>
      </c>
      <c r="I70" s="158">
        <v>10</v>
      </c>
      <c r="J70" s="158">
        <v>5</v>
      </c>
      <c r="K70" s="83">
        <f t="shared" ref="K70:K74" si="41">IFERROR(ROUND((($D70*$H70)+($D70*$I70*0.8)+($D70*$J70*0.9)),2),0)</f>
        <v>11250</v>
      </c>
      <c r="L70" s="83">
        <f t="shared" ref="L70:L74" si="42">IFERROR(ROUND((($E70*$H70)+($E70*$I70*0.8)+($E70*$J70*0.9)),2),0)</f>
        <v>11250</v>
      </c>
      <c r="M70" s="83">
        <f t="shared" ref="M70:M74" si="43">IFERROR(ROUND((($F70*$H70)+($F70*$I70*0.8)+($F70*$J70*0.9)),2),0)</f>
        <v>11250</v>
      </c>
      <c r="N70" s="83">
        <f t="shared" ref="N70:N74" si="44">IFERROR(ROUND($M70-$L70,2),0)</f>
        <v>0</v>
      </c>
      <c r="O70" s="242"/>
    </row>
    <row r="71" spans="1:15" s="45" customFormat="1" x14ac:dyDescent="0.25">
      <c r="A71" s="155"/>
      <c r="B71" s="155"/>
      <c r="C71" s="156"/>
      <c r="D71" s="157"/>
      <c r="E71" s="157"/>
      <c r="F71" s="83"/>
      <c r="G71" s="82">
        <f t="shared" si="40"/>
        <v>0</v>
      </c>
      <c r="H71" s="158"/>
      <c r="I71" s="158"/>
      <c r="J71" s="158"/>
      <c r="K71" s="83">
        <f t="shared" si="41"/>
        <v>0</v>
      </c>
      <c r="L71" s="83">
        <f t="shared" si="42"/>
        <v>0</v>
      </c>
      <c r="M71" s="83">
        <f t="shared" si="43"/>
        <v>0</v>
      </c>
      <c r="N71" s="83">
        <f t="shared" si="44"/>
        <v>0</v>
      </c>
      <c r="O71" s="242"/>
    </row>
    <row r="72" spans="1:15" s="45" customFormat="1" x14ac:dyDescent="0.25">
      <c r="A72" s="155"/>
      <c r="B72" s="155"/>
      <c r="C72" s="156"/>
      <c r="D72" s="157"/>
      <c r="E72" s="157"/>
      <c r="F72" s="83"/>
      <c r="G72" s="82">
        <f t="shared" si="40"/>
        <v>0</v>
      </c>
      <c r="H72" s="158"/>
      <c r="I72" s="158"/>
      <c r="J72" s="158"/>
      <c r="K72" s="83">
        <f t="shared" si="41"/>
        <v>0</v>
      </c>
      <c r="L72" s="83">
        <f t="shared" si="42"/>
        <v>0</v>
      </c>
      <c r="M72" s="83">
        <f t="shared" si="43"/>
        <v>0</v>
      </c>
      <c r="N72" s="83">
        <f t="shared" si="44"/>
        <v>0</v>
      </c>
      <c r="O72" s="242"/>
    </row>
    <row r="73" spans="1:15" s="45" customFormat="1" x14ac:dyDescent="0.25">
      <c r="A73" s="155"/>
      <c r="B73" s="155"/>
      <c r="C73" s="156"/>
      <c r="D73" s="157"/>
      <c r="E73" s="157"/>
      <c r="F73" s="83"/>
      <c r="G73" s="82">
        <f t="shared" si="40"/>
        <v>0</v>
      </c>
      <c r="H73" s="158"/>
      <c r="I73" s="158"/>
      <c r="J73" s="158"/>
      <c r="K73" s="83">
        <f t="shared" si="41"/>
        <v>0</v>
      </c>
      <c r="L73" s="83">
        <f t="shared" si="42"/>
        <v>0</v>
      </c>
      <c r="M73" s="83">
        <f t="shared" si="43"/>
        <v>0</v>
      </c>
      <c r="N73" s="83">
        <f t="shared" si="44"/>
        <v>0</v>
      </c>
      <c r="O73" s="242"/>
    </row>
    <row r="74" spans="1:15" s="45" customFormat="1" x14ac:dyDescent="0.25">
      <c r="A74" s="155"/>
      <c r="B74" s="155"/>
      <c r="C74" s="156"/>
      <c r="D74" s="157"/>
      <c r="E74" s="157"/>
      <c r="F74" s="83"/>
      <c r="G74" s="82">
        <f t="shared" si="40"/>
        <v>0</v>
      </c>
      <c r="H74" s="158"/>
      <c r="I74" s="158"/>
      <c r="J74" s="158"/>
      <c r="K74" s="83">
        <f t="shared" si="41"/>
        <v>0</v>
      </c>
      <c r="L74" s="83">
        <f t="shared" si="42"/>
        <v>0</v>
      </c>
      <c r="M74" s="83">
        <f t="shared" si="43"/>
        <v>0</v>
      </c>
      <c r="N74" s="83">
        <f t="shared" si="44"/>
        <v>0</v>
      </c>
      <c r="O74" s="242"/>
    </row>
    <row r="75" spans="1:15" s="45" customFormat="1" x14ac:dyDescent="0.25">
      <c r="A75" s="150"/>
      <c r="B75" s="151" t="s">
        <v>39</v>
      </c>
      <c r="C75" s="151" t="s">
        <v>40</v>
      </c>
      <c r="D75" s="152"/>
      <c r="E75" s="152"/>
      <c r="F75" s="152"/>
      <c r="G75" s="152"/>
      <c r="H75" s="153"/>
      <c r="I75" s="153"/>
      <c r="J75" s="153"/>
      <c r="K75" s="154"/>
      <c r="L75" s="154"/>
      <c r="M75" s="154"/>
      <c r="N75" s="154"/>
      <c r="O75" s="242"/>
    </row>
    <row r="76" spans="1:15" s="45" customFormat="1" x14ac:dyDescent="0.25">
      <c r="A76" s="155" t="s">
        <v>144</v>
      </c>
      <c r="B76" s="155" t="s">
        <v>152</v>
      </c>
      <c r="C76" s="156" t="s">
        <v>40</v>
      </c>
      <c r="D76" s="157">
        <v>100</v>
      </c>
      <c r="E76" s="157">
        <v>100</v>
      </c>
      <c r="F76" s="83">
        <v>100</v>
      </c>
      <c r="G76" s="82">
        <f t="shared" ref="G76:G80" si="45">IFERROR(ROUND(($F76/$E76)-1,3),0)</f>
        <v>0</v>
      </c>
      <c r="H76" s="158">
        <v>100</v>
      </c>
      <c r="I76" s="158">
        <v>10</v>
      </c>
      <c r="J76" s="158">
        <v>5</v>
      </c>
      <c r="K76" s="83">
        <f t="shared" ref="K76:K80" si="46">IFERROR(ROUND((($D76*$H76)+($D76*$I76*0.8)+($D76*$J76*0.9)),2),0)</f>
        <v>11250</v>
      </c>
      <c r="L76" s="83">
        <f t="shared" ref="L76:L80" si="47">IFERROR(ROUND((($E76*$H76)+($E76*$I76*0.8)+($E76*$J76*0.9)),2),0)</f>
        <v>11250</v>
      </c>
      <c r="M76" s="83">
        <f t="shared" ref="M76:M80" si="48">IFERROR(ROUND((($F76*$H76)+($F76*$I76*0.8)+($F76*$J76*0.9)),2),0)</f>
        <v>11250</v>
      </c>
      <c r="N76" s="83">
        <f t="shared" ref="N76:N80" si="49">IFERROR(ROUND($M76-$L76,2),0)</f>
        <v>0</v>
      </c>
      <c r="O76" s="244"/>
    </row>
    <row r="77" spans="1:15" s="45" customFormat="1" x14ac:dyDescent="0.25">
      <c r="A77" s="155"/>
      <c r="B77" s="155"/>
      <c r="C77" s="156"/>
      <c r="D77" s="157"/>
      <c r="E77" s="157"/>
      <c r="F77" s="83"/>
      <c r="G77" s="82">
        <f t="shared" si="45"/>
        <v>0</v>
      </c>
      <c r="H77" s="158"/>
      <c r="I77" s="158"/>
      <c r="J77" s="158"/>
      <c r="K77" s="83">
        <f t="shared" si="46"/>
        <v>0</v>
      </c>
      <c r="L77" s="83">
        <f t="shared" si="47"/>
        <v>0</v>
      </c>
      <c r="M77" s="83">
        <f t="shared" si="48"/>
        <v>0</v>
      </c>
      <c r="N77" s="83">
        <f t="shared" si="49"/>
        <v>0</v>
      </c>
      <c r="O77" s="244"/>
    </row>
    <row r="78" spans="1:15" s="45" customFormat="1" x14ac:dyDescent="0.25">
      <c r="A78" s="155"/>
      <c r="B78" s="155"/>
      <c r="C78" s="156"/>
      <c r="D78" s="157"/>
      <c r="E78" s="157"/>
      <c r="F78" s="83"/>
      <c r="G78" s="82">
        <f t="shared" si="45"/>
        <v>0</v>
      </c>
      <c r="H78" s="158"/>
      <c r="I78" s="158"/>
      <c r="J78" s="158"/>
      <c r="K78" s="83">
        <f t="shared" si="46"/>
        <v>0</v>
      </c>
      <c r="L78" s="83">
        <f t="shared" si="47"/>
        <v>0</v>
      </c>
      <c r="M78" s="83">
        <f t="shared" si="48"/>
        <v>0</v>
      </c>
      <c r="N78" s="83">
        <f t="shared" si="49"/>
        <v>0</v>
      </c>
      <c r="O78" s="244"/>
    </row>
    <row r="79" spans="1:15" s="45" customFormat="1" x14ac:dyDescent="0.25">
      <c r="A79" s="155"/>
      <c r="B79" s="155"/>
      <c r="C79" s="156"/>
      <c r="D79" s="157"/>
      <c r="E79" s="157"/>
      <c r="F79" s="83"/>
      <c r="G79" s="82">
        <f t="shared" si="45"/>
        <v>0</v>
      </c>
      <c r="H79" s="158"/>
      <c r="I79" s="158"/>
      <c r="J79" s="158"/>
      <c r="K79" s="83">
        <f t="shared" si="46"/>
        <v>0</v>
      </c>
      <c r="L79" s="83">
        <f t="shared" si="47"/>
        <v>0</v>
      </c>
      <c r="M79" s="83">
        <f t="shared" si="48"/>
        <v>0</v>
      </c>
      <c r="N79" s="83">
        <f t="shared" si="49"/>
        <v>0</v>
      </c>
      <c r="O79" s="244"/>
    </row>
    <row r="80" spans="1:15" s="45" customFormat="1" x14ac:dyDescent="0.25">
      <c r="A80" s="155"/>
      <c r="B80" s="155"/>
      <c r="C80" s="156"/>
      <c r="D80" s="157"/>
      <c r="E80" s="157"/>
      <c r="F80" s="83"/>
      <c r="G80" s="82">
        <f t="shared" si="45"/>
        <v>0</v>
      </c>
      <c r="H80" s="158"/>
      <c r="I80" s="158"/>
      <c r="J80" s="158"/>
      <c r="K80" s="83">
        <f t="shared" si="46"/>
        <v>0</v>
      </c>
      <c r="L80" s="83">
        <f t="shared" si="47"/>
        <v>0</v>
      </c>
      <c r="M80" s="83">
        <f t="shared" si="48"/>
        <v>0</v>
      </c>
      <c r="N80" s="83">
        <f t="shared" si="49"/>
        <v>0</v>
      </c>
      <c r="O80" s="244"/>
    </row>
    <row r="81" spans="1:15" s="45" customFormat="1" x14ac:dyDescent="0.25">
      <c r="A81" s="150"/>
      <c r="B81" s="151" t="s">
        <v>41</v>
      </c>
      <c r="C81" s="151" t="s">
        <v>42</v>
      </c>
      <c r="D81" s="152"/>
      <c r="E81" s="152"/>
      <c r="F81" s="152"/>
      <c r="G81" s="152"/>
      <c r="H81" s="153"/>
      <c r="I81" s="153"/>
      <c r="J81" s="153"/>
      <c r="K81" s="154"/>
      <c r="L81" s="154"/>
      <c r="M81" s="154"/>
      <c r="N81" s="154"/>
      <c r="O81" s="242"/>
    </row>
    <row r="82" spans="1:15" s="45" customFormat="1" x14ac:dyDescent="0.25">
      <c r="A82" s="77" t="s">
        <v>144</v>
      </c>
      <c r="B82" s="78" t="s">
        <v>153</v>
      </c>
      <c r="C82" s="80" t="s">
        <v>42</v>
      </c>
      <c r="D82" s="81">
        <v>100</v>
      </c>
      <c r="E82" s="81">
        <v>100</v>
      </c>
      <c r="F82" s="81">
        <v>100</v>
      </c>
      <c r="G82" s="82">
        <f t="shared" ref="G82:G86" si="50">IFERROR(ROUND(($F82/$E82)-1,3),0)</f>
        <v>0</v>
      </c>
      <c r="H82" s="158">
        <v>100</v>
      </c>
      <c r="I82" s="158">
        <v>10</v>
      </c>
      <c r="J82" s="158">
        <v>5</v>
      </c>
      <c r="K82" s="83">
        <f t="shared" ref="K82:K86" si="51">IFERROR(ROUND((($D82*$H82)+($D82*$I82*0.8)+($D82*$J82*0.9)),2),0)</f>
        <v>11250</v>
      </c>
      <c r="L82" s="83">
        <f t="shared" ref="L82:L86" si="52">IFERROR(ROUND((($E82*$H82)+($E82*$I82*0.8)+($E82*$J82*0.9)),2),0)</f>
        <v>11250</v>
      </c>
      <c r="M82" s="83">
        <f t="shared" ref="M82:M86" si="53">IFERROR(ROUND((($F82*$H82)+($F82*$I82*0.8)+($F82*$J82*0.9)),2),0)</f>
        <v>11250</v>
      </c>
      <c r="N82" s="83">
        <f t="shared" ref="N82:N86" si="54">IFERROR(ROUND($M82-$L82,2),0)</f>
        <v>0</v>
      </c>
      <c r="O82" s="242"/>
    </row>
    <row r="83" spans="1:15" s="45" customFormat="1" x14ac:dyDescent="0.25">
      <c r="A83" s="155"/>
      <c r="B83" s="155"/>
      <c r="C83" s="156"/>
      <c r="D83" s="157"/>
      <c r="E83" s="157"/>
      <c r="F83" s="83"/>
      <c r="G83" s="82">
        <f t="shared" si="50"/>
        <v>0</v>
      </c>
      <c r="H83" s="158"/>
      <c r="I83" s="158"/>
      <c r="J83" s="158"/>
      <c r="K83" s="83">
        <f t="shared" si="51"/>
        <v>0</v>
      </c>
      <c r="L83" s="83">
        <f t="shared" si="52"/>
        <v>0</v>
      </c>
      <c r="M83" s="83">
        <f t="shared" si="53"/>
        <v>0</v>
      </c>
      <c r="N83" s="83">
        <f t="shared" si="54"/>
        <v>0</v>
      </c>
      <c r="O83" s="244"/>
    </row>
    <row r="84" spans="1:15" s="45" customFormat="1" x14ac:dyDescent="0.25">
      <c r="A84" s="155"/>
      <c r="B84" s="155"/>
      <c r="C84" s="156"/>
      <c r="D84" s="157"/>
      <c r="E84" s="157"/>
      <c r="F84" s="83"/>
      <c r="G84" s="82">
        <f t="shared" si="50"/>
        <v>0</v>
      </c>
      <c r="H84" s="158"/>
      <c r="I84" s="158"/>
      <c r="J84" s="158"/>
      <c r="K84" s="83">
        <f t="shared" si="51"/>
        <v>0</v>
      </c>
      <c r="L84" s="83">
        <f t="shared" si="52"/>
        <v>0</v>
      </c>
      <c r="M84" s="83">
        <f t="shared" si="53"/>
        <v>0</v>
      </c>
      <c r="N84" s="83">
        <f t="shared" si="54"/>
        <v>0</v>
      </c>
      <c r="O84" s="244"/>
    </row>
    <row r="85" spans="1:15" s="45" customFormat="1" x14ac:dyDescent="0.25">
      <c r="A85" s="155"/>
      <c r="B85" s="155"/>
      <c r="C85" s="156"/>
      <c r="D85" s="157"/>
      <c r="E85" s="157"/>
      <c r="F85" s="83"/>
      <c r="G85" s="82">
        <f t="shared" si="50"/>
        <v>0</v>
      </c>
      <c r="H85" s="158"/>
      <c r="I85" s="158"/>
      <c r="J85" s="158"/>
      <c r="K85" s="83">
        <f t="shared" si="51"/>
        <v>0</v>
      </c>
      <c r="L85" s="83">
        <f t="shared" si="52"/>
        <v>0</v>
      </c>
      <c r="M85" s="83">
        <f t="shared" si="53"/>
        <v>0</v>
      </c>
      <c r="N85" s="83">
        <f t="shared" si="54"/>
        <v>0</v>
      </c>
      <c r="O85" s="244"/>
    </row>
    <row r="86" spans="1:15" s="45" customFormat="1" x14ac:dyDescent="0.25">
      <c r="A86" s="155"/>
      <c r="B86" s="155"/>
      <c r="C86" s="156"/>
      <c r="D86" s="157"/>
      <c r="E86" s="157"/>
      <c r="F86" s="83"/>
      <c r="G86" s="82">
        <f t="shared" si="50"/>
        <v>0</v>
      </c>
      <c r="H86" s="158"/>
      <c r="I86" s="158"/>
      <c r="J86" s="158"/>
      <c r="K86" s="83">
        <f t="shared" si="51"/>
        <v>0</v>
      </c>
      <c r="L86" s="83">
        <f t="shared" si="52"/>
        <v>0</v>
      </c>
      <c r="M86" s="83">
        <f t="shared" si="53"/>
        <v>0</v>
      </c>
      <c r="N86" s="83">
        <f t="shared" si="54"/>
        <v>0</v>
      </c>
      <c r="O86" s="244"/>
    </row>
    <row r="87" spans="1:15" s="45" customFormat="1" ht="30" x14ac:dyDescent="0.25">
      <c r="A87" s="150"/>
      <c r="B87" s="151" t="s">
        <v>46</v>
      </c>
      <c r="C87" s="151" t="s">
        <v>47</v>
      </c>
      <c r="D87" s="152"/>
      <c r="E87" s="152"/>
      <c r="F87" s="152"/>
      <c r="G87" s="152"/>
      <c r="H87" s="153"/>
      <c r="I87" s="153"/>
      <c r="J87" s="153"/>
      <c r="K87" s="154"/>
      <c r="L87" s="154"/>
      <c r="M87" s="154"/>
      <c r="N87" s="154"/>
      <c r="O87" s="242"/>
    </row>
    <row r="88" spans="1:15" s="45" customFormat="1" x14ac:dyDescent="0.25">
      <c r="A88" s="155" t="s">
        <v>144</v>
      </c>
      <c r="B88" s="155" t="s">
        <v>154</v>
      </c>
      <c r="C88" s="156" t="s">
        <v>47</v>
      </c>
      <c r="D88" s="157">
        <v>100</v>
      </c>
      <c r="E88" s="157">
        <v>100</v>
      </c>
      <c r="F88" s="83">
        <v>100</v>
      </c>
      <c r="G88" s="82">
        <f t="shared" ref="G88:G92" si="55">IFERROR(ROUND(($F88/$E88)-1,3),0)</f>
        <v>0</v>
      </c>
      <c r="H88" s="158">
        <v>100</v>
      </c>
      <c r="I88" s="158">
        <v>10</v>
      </c>
      <c r="J88" s="158">
        <v>5</v>
      </c>
      <c r="K88" s="83">
        <f t="shared" ref="K88:K92" si="56">IFERROR(ROUND((($D88*$H88)+($D88*$I88*0.8)+($D88*$J88*0.9)),2),0)</f>
        <v>11250</v>
      </c>
      <c r="L88" s="83">
        <f t="shared" ref="L88:L92" si="57">IFERROR(ROUND((($E88*$H88)+($E88*$I88*0.8)+($E88*$J88*0.9)),2),0)</f>
        <v>11250</v>
      </c>
      <c r="M88" s="83">
        <f t="shared" ref="M88:M92" si="58">IFERROR(ROUND((($F88*$H88)+($F88*$I88*0.8)+($F88*$J88*0.9)),2),0)</f>
        <v>11250</v>
      </c>
      <c r="N88" s="83">
        <f t="shared" ref="N88:N92" si="59">IFERROR(ROUND($M88-$L88,2),0)</f>
        <v>0</v>
      </c>
      <c r="O88" s="242"/>
    </row>
    <row r="89" spans="1:15" s="45" customFormat="1" x14ac:dyDescent="0.25">
      <c r="A89" s="155"/>
      <c r="B89" s="155"/>
      <c r="C89" s="156"/>
      <c r="D89" s="157"/>
      <c r="E89" s="157"/>
      <c r="F89" s="83"/>
      <c r="G89" s="82">
        <f t="shared" si="55"/>
        <v>0</v>
      </c>
      <c r="H89" s="158"/>
      <c r="I89" s="158"/>
      <c r="J89" s="158"/>
      <c r="K89" s="83">
        <f t="shared" si="56"/>
        <v>0</v>
      </c>
      <c r="L89" s="83">
        <f t="shared" si="57"/>
        <v>0</v>
      </c>
      <c r="M89" s="83">
        <f t="shared" si="58"/>
        <v>0</v>
      </c>
      <c r="N89" s="83">
        <f t="shared" si="59"/>
        <v>0</v>
      </c>
      <c r="O89" s="244"/>
    </row>
    <row r="90" spans="1:15" s="45" customFormat="1" x14ac:dyDescent="0.25">
      <c r="A90" s="155"/>
      <c r="B90" s="155"/>
      <c r="C90" s="156"/>
      <c r="D90" s="157"/>
      <c r="E90" s="157"/>
      <c r="F90" s="83"/>
      <c r="G90" s="82">
        <f t="shared" si="55"/>
        <v>0</v>
      </c>
      <c r="H90" s="158"/>
      <c r="I90" s="158"/>
      <c r="J90" s="158"/>
      <c r="K90" s="83">
        <f t="shared" si="56"/>
        <v>0</v>
      </c>
      <c r="L90" s="83">
        <f t="shared" si="57"/>
        <v>0</v>
      </c>
      <c r="M90" s="83">
        <f t="shared" si="58"/>
        <v>0</v>
      </c>
      <c r="N90" s="83">
        <f t="shared" si="59"/>
        <v>0</v>
      </c>
      <c r="O90" s="244"/>
    </row>
    <row r="91" spans="1:15" s="45" customFormat="1" x14ac:dyDescent="0.25">
      <c r="A91" s="155"/>
      <c r="B91" s="155"/>
      <c r="C91" s="156"/>
      <c r="D91" s="157"/>
      <c r="E91" s="157"/>
      <c r="F91" s="83"/>
      <c r="G91" s="82">
        <f t="shared" si="55"/>
        <v>0</v>
      </c>
      <c r="H91" s="158"/>
      <c r="I91" s="158"/>
      <c r="J91" s="158"/>
      <c r="K91" s="83">
        <f t="shared" si="56"/>
        <v>0</v>
      </c>
      <c r="L91" s="83">
        <f t="shared" si="57"/>
        <v>0</v>
      </c>
      <c r="M91" s="83">
        <f t="shared" si="58"/>
        <v>0</v>
      </c>
      <c r="N91" s="83">
        <f t="shared" si="59"/>
        <v>0</v>
      </c>
      <c r="O91" s="244"/>
    </row>
    <row r="92" spans="1:15" s="45" customFormat="1" x14ac:dyDescent="0.25">
      <c r="A92" s="155"/>
      <c r="B92" s="155"/>
      <c r="C92" s="156"/>
      <c r="D92" s="157"/>
      <c r="E92" s="157"/>
      <c r="F92" s="83"/>
      <c r="G92" s="82">
        <f t="shared" si="55"/>
        <v>0</v>
      </c>
      <c r="H92" s="158"/>
      <c r="I92" s="158"/>
      <c r="J92" s="158"/>
      <c r="K92" s="83">
        <f t="shared" si="56"/>
        <v>0</v>
      </c>
      <c r="L92" s="83">
        <f t="shared" si="57"/>
        <v>0</v>
      </c>
      <c r="M92" s="83">
        <f t="shared" si="58"/>
        <v>0</v>
      </c>
      <c r="N92" s="83">
        <f t="shared" si="59"/>
        <v>0</v>
      </c>
      <c r="O92" s="244"/>
    </row>
    <row r="93" spans="1:15" s="45" customFormat="1" x14ac:dyDescent="0.25">
      <c r="A93" s="84"/>
      <c r="B93" s="85"/>
      <c r="C93" s="86"/>
      <c r="D93" s="60"/>
      <c r="E93" s="87"/>
      <c r="F93" s="87"/>
      <c r="G93" s="88"/>
      <c r="H93" s="88"/>
      <c r="I93" s="89"/>
      <c r="J93" s="89"/>
      <c r="K93" s="89"/>
      <c r="L93" s="90"/>
      <c r="M93" s="87"/>
      <c r="N93" s="87"/>
      <c r="O93" s="242"/>
    </row>
    <row r="94" spans="1:15" s="45" customFormat="1" x14ac:dyDescent="0.25">
      <c r="A94" s="84"/>
      <c r="B94" s="85"/>
      <c r="C94" s="86"/>
      <c r="D94" s="60"/>
      <c r="E94" s="87"/>
      <c r="F94" s="87"/>
      <c r="G94" s="88"/>
      <c r="H94" s="88"/>
      <c r="I94" s="89"/>
      <c r="J94" s="89"/>
      <c r="K94" s="89"/>
      <c r="L94" s="90"/>
      <c r="M94" s="87"/>
      <c r="N94" s="87"/>
      <c r="O94" s="242"/>
    </row>
    <row r="95" spans="1:15" s="45" customFormat="1" x14ac:dyDescent="0.25">
      <c r="A95" s="58"/>
      <c r="B95" s="85"/>
      <c r="C95" s="86"/>
      <c r="D95" s="60"/>
      <c r="E95" s="87"/>
      <c r="F95" s="87"/>
      <c r="G95" s="88"/>
      <c r="H95" s="88"/>
      <c r="I95" s="89"/>
      <c r="J95" s="89"/>
      <c r="K95" s="89"/>
      <c r="L95" s="90"/>
      <c r="M95" s="87"/>
      <c r="N95" s="87"/>
      <c r="O95" s="242"/>
    </row>
    <row r="96" spans="1:15" s="45" customFormat="1" x14ac:dyDescent="0.25">
      <c r="A96" s="91"/>
      <c r="B96" s="27"/>
      <c r="C96" s="64"/>
      <c r="D96" s="26"/>
      <c r="E96" s="26"/>
      <c r="F96" s="26"/>
      <c r="G96" s="26"/>
      <c r="H96" s="26"/>
      <c r="I96" s="28"/>
      <c r="J96" s="28"/>
      <c r="K96" s="28"/>
      <c r="L96" s="29"/>
      <c r="M96" s="57"/>
      <c r="N96" s="57"/>
      <c r="O96" s="242"/>
    </row>
    <row r="97" spans="1:15" s="45" customFormat="1" ht="18.75" x14ac:dyDescent="0.25">
      <c r="A97" s="280" t="s">
        <v>16</v>
      </c>
      <c r="B97" s="281"/>
      <c r="C97" s="281"/>
      <c r="D97" s="281"/>
      <c r="E97" s="281"/>
      <c r="F97" s="281"/>
      <c r="G97" s="281"/>
      <c r="H97" s="281"/>
      <c r="I97" s="281"/>
      <c r="J97" s="281"/>
      <c r="K97" s="281"/>
      <c r="L97" s="282"/>
      <c r="M97" s="55"/>
      <c r="N97" s="55"/>
      <c r="O97" s="242"/>
    </row>
    <row r="98" spans="1:15" s="45" customFormat="1" ht="18.75" x14ac:dyDescent="0.25">
      <c r="A98" s="283"/>
      <c r="B98" s="284"/>
      <c r="C98" s="284"/>
      <c r="D98" s="284"/>
      <c r="E98" s="284"/>
      <c r="F98" s="284"/>
      <c r="G98" s="284"/>
      <c r="H98" s="284"/>
      <c r="I98" s="284"/>
      <c r="J98" s="284"/>
      <c r="K98" s="284"/>
      <c r="L98" s="285"/>
      <c r="M98" s="55"/>
      <c r="N98" s="55"/>
      <c r="O98" s="242"/>
    </row>
    <row r="99" spans="1:15" s="45" customFormat="1" x14ac:dyDescent="0.25">
      <c r="A99" s="62"/>
      <c r="B99" s="62"/>
      <c r="C99" s="62"/>
      <c r="D99" s="62"/>
      <c r="E99" s="62"/>
      <c r="F99" s="62"/>
      <c r="G99" s="62"/>
      <c r="H99" s="62"/>
      <c r="I99" s="62"/>
      <c r="J99" s="62"/>
      <c r="K99" s="62"/>
      <c r="L99" s="62"/>
      <c r="M99" s="62"/>
      <c r="N99" s="62"/>
      <c r="O99" s="242"/>
    </row>
    <row r="100" spans="1:15" s="45" customFormat="1" ht="15.75" x14ac:dyDescent="0.25">
      <c r="A100" s="30"/>
      <c r="B100" s="91"/>
      <c r="C100" s="27"/>
      <c r="D100" s="64"/>
      <c r="E100" s="92"/>
      <c r="F100" s="92"/>
      <c r="G100" s="92"/>
      <c r="H100" s="92"/>
      <c r="I100" s="265" t="s">
        <v>12</v>
      </c>
      <c r="J100" s="266"/>
      <c r="K100" s="267"/>
      <c r="L100" s="30"/>
      <c r="M100" s="66"/>
      <c r="N100" s="30"/>
      <c r="O100" s="242"/>
    </row>
    <row r="101" spans="1:15" s="45" customFormat="1" ht="60" x14ac:dyDescent="0.25">
      <c r="A101" s="67" t="s">
        <v>19</v>
      </c>
      <c r="B101" s="67" t="s">
        <v>14</v>
      </c>
      <c r="C101" s="68" t="s">
        <v>1</v>
      </c>
      <c r="D101" s="69" t="s">
        <v>108</v>
      </c>
      <c r="E101" s="69" t="s">
        <v>104</v>
      </c>
      <c r="F101" s="69" t="s">
        <v>105</v>
      </c>
      <c r="G101" s="69" t="s">
        <v>57</v>
      </c>
      <c r="H101" s="70" t="s">
        <v>95</v>
      </c>
      <c r="I101" s="72" t="s">
        <v>106</v>
      </c>
      <c r="J101" s="72" t="s">
        <v>107</v>
      </c>
      <c r="K101" s="72" t="s">
        <v>21</v>
      </c>
      <c r="L101" s="69" t="s">
        <v>60</v>
      </c>
      <c r="M101" s="30"/>
      <c r="N101" s="30"/>
      <c r="O101" s="242"/>
    </row>
    <row r="102" spans="1:15" s="45" customFormat="1" x14ac:dyDescent="0.25">
      <c r="A102" s="93"/>
      <c r="B102" s="94"/>
      <c r="C102" s="95" t="str">
        <f>"Col "&amp;COLUMN(C102)+44</f>
        <v>Col 47</v>
      </c>
      <c r="D102" s="95" t="str">
        <f t="shared" ref="D102:L102" si="60">"Col "&amp;COLUMN(D102)+44</f>
        <v>Col 48</v>
      </c>
      <c r="E102" s="95" t="str">
        <f t="shared" si="60"/>
        <v>Col 49</v>
      </c>
      <c r="F102" s="95" t="str">
        <f t="shared" si="60"/>
        <v>Col 50</v>
      </c>
      <c r="G102" s="95" t="str">
        <f t="shared" si="60"/>
        <v>Col 51</v>
      </c>
      <c r="H102" s="95" t="str">
        <f t="shared" si="60"/>
        <v>Col 52</v>
      </c>
      <c r="I102" s="95" t="str">
        <f t="shared" si="60"/>
        <v>Col 53</v>
      </c>
      <c r="J102" s="95" t="str">
        <f t="shared" si="60"/>
        <v>Col 54</v>
      </c>
      <c r="K102" s="95" t="str">
        <f t="shared" si="60"/>
        <v>Col 55</v>
      </c>
      <c r="L102" s="95" t="str">
        <f t="shared" si="60"/>
        <v>Col 56</v>
      </c>
      <c r="M102" s="30"/>
      <c r="N102" s="30"/>
      <c r="O102" s="242"/>
    </row>
    <row r="103" spans="1:15" s="45" customFormat="1" x14ac:dyDescent="0.25">
      <c r="A103" s="67" t="s">
        <v>2</v>
      </c>
      <c r="B103" s="67" t="s">
        <v>2</v>
      </c>
      <c r="C103" s="96" t="s">
        <v>2</v>
      </c>
      <c r="D103" s="69" t="s">
        <v>2</v>
      </c>
      <c r="E103" s="69" t="s">
        <v>2</v>
      </c>
      <c r="F103" s="69" t="s">
        <v>2</v>
      </c>
      <c r="G103" s="69" t="str">
        <f>"("&amp;F102&amp;" / "&amp;D102&amp;") - 1"</f>
        <v>(Col 50 / Col 48) - 1</v>
      </c>
      <c r="H103" s="69" t="s">
        <v>2</v>
      </c>
      <c r="I103" s="97" t="str">
        <f>D102&amp;" X "&amp;H102</f>
        <v>Col 48 X Col 52</v>
      </c>
      <c r="J103" s="97" t="str">
        <f>E102&amp;" X "&amp;I102</f>
        <v>Col 49 X Col 53</v>
      </c>
      <c r="K103" s="97" t="str">
        <f>F102&amp;" X "&amp;H102</f>
        <v>Col 50 X Col 52</v>
      </c>
      <c r="L103" s="98" t="str">
        <f>K102&amp;" - "&amp;J102</f>
        <v>Col 55 - Col 54</v>
      </c>
      <c r="M103" s="30"/>
      <c r="N103" s="30"/>
      <c r="O103" s="242"/>
    </row>
    <row r="104" spans="1:15" s="45" customFormat="1" x14ac:dyDescent="0.25">
      <c r="A104" s="150"/>
      <c r="B104" s="151" t="s">
        <v>31</v>
      </c>
      <c r="C104" s="151" t="s">
        <v>25</v>
      </c>
      <c r="D104" s="152"/>
      <c r="E104" s="152"/>
      <c r="F104" s="152"/>
      <c r="G104" s="152"/>
      <c r="H104" s="153"/>
      <c r="I104" s="153"/>
      <c r="J104" s="153"/>
      <c r="K104" s="153"/>
      <c r="L104" s="154"/>
      <c r="O104" s="242"/>
    </row>
    <row r="105" spans="1:15" s="45" customFormat="1" x14ac:dyDescent="0.25">
      <c r="A105" s="77" t="s">
        <v>144</v>
      </c>
      <c r="B105" s="77" t="s">
        <v>155</v>
      </c>
      <c r="C105" s="80" t="s">
        <v>25</v>
      </c>
      <c r="D105" s="157">
        <v>100</v>
      </c>
      <c r="E105" s="157">
        <v>100</v>
      </c>
      <c r="F105" s="83">
        <v>100</v>
      </c>
      <c r="G105" s="99">
        <f>IFERROR(ROUND((F105/D105)-1,3),0)</f>
        <v>0</v>
      </c>
      <c r="H105" s="159">
        <v>100</v>
      </c>
      <c r="I105" s="100">
        <f>IFERROR(ROUND($D105*$H105,2),0)</f>
        <v>10000</v>
      </c>
      <c r="J105" s="100">
        <f>IFERROR(ROUND($E105*$H105,2),0)</f>
        <v>10000</v>
      </c>
      <c r="K105" s="100">
        <f>IFERROR(ROUND($F105*$H105,2),0)</f>
        <v>10000</v>
      </c>
      <c r="L105" s="100">
        <f>IFERROR(ROUND(K105-J105,2),0)</f>
        <v>0</v>
      </c>
      <c r="M105" s="58"/>
      <c r="N105" s="58"/>
      <c r="O105" s="242"/>
    </row>
    <row r="106" spans="1:15" s="45" customFormat="1" x14ac:dyDescent="0.25">
      <c r="A106" s="77"/>
      <c r="B106" s="77"/>
      <c r="C106" s="80"/>
      <c r="D106" s="157"/>
      <c r="E106" s="157"/>
      <c r="F106" s="83"/>
      <c r="G106" s="99">
        <f>IFERROR(ROUND((F106/D106)-1,3),0)</f>
        <v>0</v>
      </c>
      <c r="H106" s="159"/>
      <c r="I106" s="100">
        <f>IFERROR(ROUND($D106*$H106,2),0)</f>
        <v>0</v>
      </c>
      <c r="J106" s="100">
        <f>IFERROR(ROUND($E106*$H106,2),0)</f>
        <v>0</v>
      </c>
      <c r="K106" s="100">
        <f>IFERROR(ROUND($F106*$H106,2),0)</f>
        <v>0</v>
      </c>
      <c r="L106" s="100">
        <f>IFERROR(ROUND(K106-J106,2),0)</f>
        <v>0</v>
      </c>
      <c r="M106" s="58"/>
      <c r="N106" s="58"/>
      <c r="O106" s="242"/>
    </row>
    <row r="107" spans="1:15" s="45" customFormat="1" x14ac:dyDescent="0.25">
      <c r="A107" s="77"/>
      <c r="B107" s="77"/>
      <c r="C107" s="80"/>
      <c r="D107" s="157"/>
      <c r="E107" s="157"/>
      <c r="F107" s="83"/>
      <c r="G107" s="99">
        <f t="shared" ref="G107:G109" si="61">IFERROR(ROUND((F107/D107)-1,3),0)</f>
        <v>0</v>
      </c>
      <c r="H107" s="159"/>
      <c r="I107" s="100">
        <f t="shared" ref="I107:I109" si="62">IFERROR(ROUND($D107*$H107,2),0)</f>
        <v>0</v>
      </c>
      <c r="J107" s="100">
        <f t="shared" ref="J107:J109" si="63">IFERROR(ROUND($E107*$H107,2),0)</f>
        <v>0</v>
      </c>
      <c r="K107" s="100">
        <f t="shared" ref="K107:K109" si="64">IFERROR(ROUND($F107*$H107,2),0)</f>
        <v>0</v>
      </c>
      <c r="L107" s="100">
        <f t="shared" ref="L107:L109" si="65">IFERROR(ROUND(K107-J107,2),0)</f>
        <v>0</v>
      </c>
      <c r="M107" s="58"/>
      <c r="N107" s="58"/>
      <c r="O107" s="242"/>
    </row>
    <row r="108" spans="1:15" s="45" customFormat="1" x14ac:dyDescent="0.25">
      <c r="A108" s="77"/>
      <c r="B108" s="77"/>
      <c r="C108" s="80"/>
      <c r="D108" s="157"/>
      <c r="E108" s="157"/>
      <c r="F108" s="83"/>
      <c r="G108" s="99">
        <f t="shared" si="61"/>
        <v>0</v>
      </c>
      <c r="H108" s="159"/>
      <c r="I108" s="100">
        <f t="shared" si="62"/>
        <v>0</v>
      </c>
      <c r="J108" s="100">
        <f t="shared" si="63"/>
        <v>0</v>
      </c>
      <c r="K108" s="100">
        <f t="shared" si="64"/>
        <v>0</v>
      </c>
      <c r="L108" s="100">
        <f t="shared" si="65"/>
        <v>0</v>
      </c>
      <c r="M108" s="58"/>
      <c r="N108" s="58"/>
      <c r="O108" s="242"/>
    </row>
    <row r="109" spans="1:15" s="45" customFormat="1" x14ac:dyDescent="0.25">
      <c r="A109" s="77"/>
      <c r="B109" s="77"/>
      <c r="C109" s="80"/>
      <c r="D109" s="157"/>
      <c r="E109" s="157"/>
      <c r="F109" s="83"/>
      <c r="G109" s="99">
        <f t="shared" si="61"/>
        <v>0</v>
      </c>
      <c r="H109" s="159"/>
      <c r="I109" s="100">
        <f t="shared" si="62"/>
        <v>0</v>
      </c>
      <c r="J109" s="100">
        <f t="shared" si="63"/>
        <v>0</v>
      </c>
      <c r="K109" s="100">
        <f t="shared" si="64"/>
        <v>0</v>
      </c>
      <c r="L109" s="100">
        <f t="shared" si="65"/>
        <v>0</v>
      </c>
      <c r="M109" s="58"/>
      <c r="N109" s="58"/>
      <c r="O109" s="242"/>
    </row>
    <row r="110" spans="1:15" s="45" customFormat="1" x14ac:dyDescent="0.25">
      <c r="A110" s="150"/>
      <c r="B110" s="151" t="s">
        <v>30</v>
      </c>
      <c r="C110" s="151" t="s">
        <v>26</v>
      </c>
      <c r="D110" s="152"/>
      <c r="E110" s="152"/>
      <c r="F110" s="152"/>
      <c r="G110" s="152"/>
      <c r="H110" s="153"/>
      <c r="I110" s="153"/>
      <c r="J110" s="153"/>
      <c r="K110" s="153"/>
      <c r="L110" s="154"/>
      <c r="O110" s="242"/>
    </row>
    <row r="111" spans="1:15" s="45" customFormat="1" x14ac:dyDescent="0.25">
      <c r="A111" s="77" t="s">
        <v>144</v>
      </c>
      <c r="B111" s="78" t="s">
        <v>156</v>
      </c>
      <c r="C111" s="80" t="s">
        <v>26</v>
      </c>
      <c r="D111" s="81">
        <v>100</v>
      </c>
      <c r="E111" s="81">
        <v>100</v>
      </c>
      <c r="F111" s="81">
        <v>100</v>
      </c>
      <c r="G111" s="99">
        <f>IFERROR(ROUND((F111/D111)-1,3),0)</f>
        <v>0</v>
      </c>
      <c r="H111" s="159">
        <v>100</v>
      </c>
      <c r="I111" s="100">
        <f>IFERROR(ROUND($D111*$H111,2),0)</f>
        <v>10000</v>
      </c>
      <c r="J111" s="100">
        <f>IFERROR(ROUND($E111*$H111,2),0)</f>
        <v>10000</v>
      </c>
      <c r="K111" s="100">
        <f>IFERROR(ROUND($F111*$H111,2),0)</f>
        <v>10000</v>
      </c>
      <c r="L111" s="100">
        <f>IFERROR(ROUND(K111-J111,2),0)</f>
        <v>0</v>
      </c>
      <c r="M111" s="30"/>
      <c r="N111" s="30"/>
      <c r="O111" s="242"/>
    </row>
    <row r="112" spans="1:15" s="45" customFormat="1" x14ac:dyDescent="0.25">
      <c r="A112" s="77"/>
      <c r="B112" s="77"/>
      <c r="C112" s="80"/>
      <c r="D112" s="157"/>
      <c r="E112" s="157"/>
      <c r="F112" s="83"/>
      <c r="G112" s="99">
        <f>IFERROR(ROUND((F112/D112)-1,3),0)</f>
        <v>0</v>
      </c>
      <c r="H112" s="159"/>
      <c r="I112" s="100">
        <f>IFERROR(ROUND($D112*$H112,2),0)</f>
        <v>0</v>
      </c>
      <c r="J112" s="100">
        <f>IFERROR(ROUND($E112*$H112,2),0)</f>
        <v>0</v>
      </c>
      <c r="K112" s="100">
        <f>IFERROR(ROUND($F112*$H112,2),0)</f>
        <v>0</v>
      </c>
      <c r="L112" s="100">
        <f>IFERROR(ROUND(K112-J112,2),0)</f>
        <v>0</v>
      </c>
      <c r="M112" s="58"/>
      <c r="N112" s="58"/>
      <c r="O112" s="242"/>
    </row>
    <row r="113" spans="1:15" s="45" customFormat="1" x14ac:dyDescent="0.25">
      <c r="A113" s="77"/>
      <c r="B113" s="77"/>
      <c r="C113" s="80"/>
      <c r="D113" s="157"/>
      <c r="E113" s="157"/>
      <c r="F113" s="83"/>
      <c r="G113" s="99">
        <f t="shared" ref="G113:G115" si="66">IFERROR(ROUND((F113/D113)-1,3),0)</f>
        <v>0</v>
      </c>
      <c r="H113" s="159"/>
      <c r="I113" s="100">
        <f t="shared" ref="I113:I115" si="67">IFERROR(ROUND($D113*$H113,2),0)</f>
        <v>0</v>
      </c>
      <c r="J113" s="100">
        <f t="shared" ref="J113:J115" si="68">IFERROR(ROUND($E113*$H113,2),0)</f>
        <v>0</v>
      </c>
      <c r="K113" s="100">
        <f t="shared" ref="K113:K115" si="69">IFERROR(ROUND($F113*$H113,2),0)</f>
        <v>0</v>
      </c>
      <c r="L113" s="100">
        <f t="shared" ref="L113:L115" si="70">IFERROR(ROUND(K113-J113,2),0)</f>
        <v>0</v>
      </c>
      <c r="M113" s="58"/>
      <c r="N113" s="58"/>
      <c r="O113" s="242"/>
    </row>
    <row r="114" spans="1:15" s="45" customFormat="1" x14ac:dyDescent="0.25">
      <c r="A114" s="77"/>
      <c r="B114" s="77"/>
      <c r="C114" s="80"/>
      <c r="D114" s="157"/>
      <c r="E114" s="157"/>
      <c r="F114" s="83"/>
      <c r="G114" s="99">
        <f t="shared" si="66"/>
        <v>0</v>
      </c>
      <c r="H114" s="159"/>
      <c r="I114" s="100">
        <f t="shared" si="67"/>
        <v>0</v>
      </c>
      <c r="J114" s="100">
        <f t="shared" si="68"/>
        <v>0</v>
      </c>
      <c r="K114" s="100">
        <f t="shared" si="69"/>
        <v>0</v>
      </c>
      <c r="L114" s="100">
        <f t="shared" si="70"/>
        <v>0</v>
      </c>
      <c r="M114" s="58"/>
      <c r="N114" s="58"/>
      <c r="O114" s="242"/>
    </row>
    <row r="115" spans="1:15" s="45" customFormat="1" x14ac:dyDescent="0.25">
      <c r="A115" s="77"/>
      <c r="B115" s="77"/>
      <c r="C115" s="80"/>
      <c r="D115" s="157"/>
      <c r="E115" s="157"/>
      <c r="F115" s="83"/>
      <c r="G115" s="99">
        <f t="shared" si="66"/>
        <v>0</v>
      </c>
      <c r="H115" s="159"/>
      <c r="I115" s="100">
        <f t="shared" si="67"/>
        <v>0</v>
      </c>
      <c r="J115" s="100">
        <f t="shared" si="68"/>
        <v>0</v>
      </c>
      <c r="K115" s="100">
        <f t="shared" si="69"/>
        <v>0</v>
      </c>
      <c r="L115" s="100">
        <f t="shared" si="70"/>
        <v>0</v>
      </c>
      <c r="M115" s="58"/>
      <c r="N115" s="58"/>
      <c r="O115" s="242"/>
    </row>
    <row r="116" spans="1:15" s="45" customFormat="1" x14ac:dyDescent="0.25">
      <c r="A116" s="150"/>
      <c r="B116" s="151" t="s">
        <v>29</v>
      </c>
      <c r="C116" s="151" t="s">
        <v>27</v>
      </c>
      <c r="D116" s="152"/>
      <c r="E116" s="152"/>
      <c r="F116" s="152"/>
      <c r="G116" s="152"/>
      <c r="H116" s="153"/>
      <c r="I116" s="153"/>
      <c r="J116" s="153"/>
      <c r="K116" s="153"/>
      <c r="L116" s="154"/>
      <c r="O116" s="242"/>
    </row>
    <row r="117" spans="1:15" s="45" customFormat="1" x14ac:dyDescent="0.25">
      <c r="A117" s="77" t="s">
        <v>144</v>
      </c>
      <c r="B117" s="77" t="s">
        <v>157</v>
      </c>
      <c r="C117" s="80" t="s">
        <v>27</v>
      </c>
      <c r="D117" s="157">
        <v>100</v>
      </c>
      <c r="E117" s="157">
        <v>100</v>
      </c>
      <c r="F117" s="83">
        <v>100</v>
      </c>
      <c r="G117" s="99">
        <f t="shared" ref="G117" si="71">IFERROR(ROUND((F117/D117)-1,3),0)</f>
        <v>0</v>
      </c>
      <c r="H117" s="159">
        <v>100</v>
      </c>
      <c r="I117" s="100">
        <f t="shared" ref="I117" si="72">IFERROR(ROUND($D117*$H117,2),0)</f>
        <v>10000</v>
      </c>
      <c r="J117" s="100">
        <f t="shared" ref="J117" si="73">IFERROR(ROUND($E117*$H117,2),0)</f>
        <v>10000</v>
      </c>
      <c r="K117" s="100">
        <f t="shared" ref="K117" si="74">IFERROR(ROUND($F117*$H117,2),0)</f>
        <v>10000</v>
      </c>
      <c r="L117" s="100">
        <f t="shared" ref="L117" si="75">IFERROR(ROUND(K117-J117,2),0)</f>
        <v>0</v>
      </c>
      <c r="M117" s="30"/>
      <c r="N117" s="30"/>
      <c r="O117" s="241"/>
    </row>
    <row r="118" spans="1:15" s="45" customFormat="1" x14ac:dyDescent="0.25">
      <c r="A118" s="77"/>
      <c r="B118" s="77"/>
      <c r="C118" s="80"/>
      <c r="D118" s="157"/>
      <c r="E118" s="157"/>
      <c r="F118" s="83"/>
      <c r="G118" s="99">
        <f>IFERROR(ROUND((F118/D118)-1,3),0)</f>
        <v>0</v>
      </c>
      <c r="H118" s="159"/>
      <c r="I118" s="100">
        <f>IFERROR(ROUND($D118*$H118,2),0)</f>
        <v>0</v>
      </c>
      <c r="J118" s="100">
        <f>IFERROR(ROUND($E118*$H118,2),0)</f>
        <v>0</v>
      </c>
      <c r="K118" s="100">
        <f>IFERROR(ROUND($F118*$H118,2),0)</f>
        <v>0</v>
      </c>
      <c r="L118" s="100">
        <f>IFERROR(ROUND(K118-J118,2),0)</f>
        <v>0</v>
      </c>
      <c r="M118" s="58"/>
      <c r="N118" s="58"/>
      <c r="O118" s="242"/>
    </row>
    <row r="119" spans="1:15" s="45" customFormat="1" x14ac:dyDescent="0.25">
      <c r="A119" s="77"/>
      <c r="B119" s="77"/>
      <c r="C119" s="80"/>
      <c r="D119" s="157"/>
      <c r="E119" s="157"/>
      <c r="F119" s="83"/>
      <c r="G119" s="99">
        <f t="shared" ref="G119:G121" si="76">IFERROR(ROUND((F119/D119)-1,3),0)</f>
        <v>0</v>
      </c>
      <c r="H119" s="159"/>
      <c r="I119" s="100">
        <f t="shared" ref="I119:I121" si="77">IFERROR(ROUND($D119*$H119,2),0)</f>
        <v>0</v>
      </c>
      <c r="J119" s="100">
        <f t="shared" ref="J119:J121" si="78">IFERROR(ROUND($E119*$H119,2),0)</f>
        <v>0</v>
      </c>
      <c r="K119" s="100">
        <f t="shared" ref="K119:K121" si="79">IFERROR(ROUND($F119*$H119,2),0)</f>
        <v>0</v>
      </c>
      <c r="L119" s="100">
        <f t="shared" ref="L119:L121" si="80">IFERROR(ROUND(K119-J119,2),0)</f>
        <v>0</v>
      </c>
      <c r="M119" s="58"/>
      <c r="N119" s="58"/>
      <c r="O119" s="242"/>
    </row>
    <row r="120" spans="1:15" s="45" customFormat="1" x14ac:dyDescent="0.25">
      <c r="A120" s="77"/>
      <c r="B120" s="77"/>
      <c r="C120" s="80"/>
      <c r="D120" s="157"/>
      <c r="E120" s="157"/>
      <c r="F120" s="83"/>
      <c r="G120" s="99">
        <f t="shared" si="76"/>
        <v>0</v>
      </c>
      <c r="H120" s="159"/>
      <c r="I120" s="100">
        <f t="shared" si="77"/>
        <v>0</v>
      </c>
      <c r="J120" s="100">
        <f t="shared" si="78"/>
        <v>0</v>
      </c>
      <c r="K120" s="100">
        <f t="shared" si="79"/>
        <v>0</v>
      </c>
      <c r="L120" s="100">
        <f t="shared" si="80"/>
        <v>0</v>
      </c>
      <c r="M120" s="58"/>
      <c r="N120" s="58"/>
      <c r="O120" s="242"/>
    </row>
    <row r="121" spans="1:15" s="45" customFormat="1" x14ac:dyDescent="0.25">
      <c r="A121" s="77"/>
      <c r="B121" s="77"/>
      <c r="C121" s="80"/>
      <c r="D121" s="157"/>
      <c r="E121" s="157"/>
      <c r="F121" s="83"/>
      <c r="G121" s="99">
        <f t="shared" si="76"/>
        <v>0</v>
      </c>
      <c r="H121" s="159"/>
      <c r="I121" s="100">
        <f t="shared" si="77"/>
        <v>0</v>
      </c>
      <c r="J121" s="100">
        <f t="shared" si="78"/>
        <v>0</v>
      </c>
      <c r="K121" s="100">
        <f t="shared" si="79"/>
        <v>0</v>
      </c>
      <c r="L121" s="100">
        <f t="shared" si="80"/>
        <v>0</v>
      </c>
      <c r="M121" s="58"/>
      <c r="N121" s="58"/>
      <c r="O121" s="242"/>
    </row>
    <row r="122" spans="1:15" s="45" customFormat="1" x14ac:dyDescent="0.25">
      <c r="A122" s="150"/>
      <c r="B122" s="151" t="s">
        <v>28</v>
      </c>
      <c r="C122" s="151" t="s">
        <v>43</v>
      </c>
      <c r="D122" s="152"/>
      <c r="E122" s="152"/>
      <c r="F122" s="152"/>
      <c r="G122" s="152"/>
      <c r="H122" s="153"/>
      <c r="I122" s="153"/>
      <c r="J122" s="153"/>
      <c r="K122" s="153"/>
      <c r="L122" s="154"/>
      <c r="O122" s="244"/>
    </row>
    <row r="123" spans="1:15" s="58" customFormat="1" x14ac:dyDescent="0.25">
      <c r="A123" s="77" t="s">
        <v>144</v>
      </c>
      <c r="B123" s="77" t="s">
        <v>158</v>
      </c>
      <c r="C123" s="80" t="s">
        <v>43</v>
      </c>
      <c r="D123" s="157">
        <v>100</v>
      </c>
      <c r="E123" s="157">
        <v>100</v>
      </c>
      <c r="F123" s="83">
        <v>100</v>
      </c>
      <c r="G123" s="99">
        <f t="shared" ref="G123" si="81">IFERROR(ROUND((F123/D123)-1,3),0)</f>
        <v>0</v>
      </c>
      <c r="H123" s="159">
        <v>100</v>
      </c>
      <c r="I123" s="100">
        <f t="shared" ref="I123" si="82">IFERROR(ROUND($D123*$H123,2),0)</f>
        <v>10000</v>
      </c>
      <c r="J123" s="100">
        <f t="shared" ref="J123" si="83">IFERROR(ROUND($E123*$H123,2),0)</f>
        <v>10000</v>
      </c>
      <c r="K123" s="100">
        <f t="shared" ref="K123" si="84">IFERROR(ROUND($F123*$H123,2),0)</f>
        <v>10000</v>
      </c>
      <c r="L123" s="100">
        <f t="shared" ref="L123" si="85">IFERROR(ROUND(K123-J123,2),0)</f>
        <v>0</v>
      </c>
      <c r="M123" s="30"/>
      <c r="N123" s="30"/>
      <c r="O123" s="244"/>
    </row>
    <row r="124" spans="1:15" s="45" customFormat="1" x14ac:dyDescent="0.25">
      <c r="A124" s="77"/>
      <c r="B124" s="77"/>
      <c r="C124" s="80"/>
      <c r="D124" s="157"/>
      <c r="E124" s="157"/>
      <c r="F124" s="83"/>
      <c r="G124" s="99">
        <f>IFERROR(ROUND((F124/D124)-1,3),0)</f>
        <v>0</v>
      </c>
      <c r="H124" s="159"/>
      <c r="I124" s="100">
        <f>IFERROR(ROUND($D124*$H124,2),0)</f>
        <v>0</v>
      </c>
      <c r="J124" s="100">
        <f>IFERROR(ROUND($E124*$H124,2),0)</f>
        <v>0</v>
      </c>
      <c r="K124" s="100">
        <f>IFERROR(ROUND($F124*$H124,2),0)</f>
        <v>0</v>
      </c>
      <c r="L124" s="100">
        <f>IFERROR(ROUND(K124-J124,2),0)</f>
        <v>0</v>
      </c>
      <c r="M124" s="58"/>
      <c r="N124" s="58"/>
      <c r="O124" s="242"/>
    </row>
    <row r="125" spans="1:15" s="45" customFormat="1" x14ac:dyDescent="0.25">
      <c r="A125" s="77"/>
      <c r="B125" s="77"/>
      <c r="C125" s="80"/>
      <c r="D125" s="157"/>
      <c r="E125" s="157"/>
      <c r="F125" s="83"/>
      <c r="G125" s="99">
        <f t="shared" ref="G125:G127" si="86">IFERROR(ROUND((F125/D125)-1,3),0)</f>
        <v>0</v>
      </c>
      <c r="H125" s="159"/>
      <c r="I125" s="100">
        <f t="shared" ref="I125:I127" si="87">IFERROR(ROUND($D125*$H125,2),0)</f>
        <v>0</v>
      </c>
      <c r="J125" s="100">
        <f t="shared" ref="J125:J127" si="88">IFERROR(ROUND($E125*$H125,2),0)</f>
        <v>0</v>
      </c>
      <c r="K125" s="100">
        <f t="shared" ref="K125:K127" si="89">IFERROR(ROUND($F125*$H125,2),0)</f>
        <v>0</v>
      </c>
      <c r="L125" s="100">
        <f t="shared" ref="L125:L127" si="90">IFERROR(ROUND(K125-J125,2),0)</f>
        <v>0</v>
      </c>
      <c r="M125" s="58"/>
      <c r="N125" s="58"/>
      <c r="O125" s="242"/>
    </row>
    <row r="126" spans="1:15" s="45" customFormat="1" x14ac:dyDescent="0.25">
      <c r="A126" s="77"/>
      <c r="B126" s="77"/>
      <c r="C126" s="80"/>
      <c r="D126" s="157"/>
      <c r="E126" s="157"/>
      <c r="F126" s="83"/>
      <c r="G126" s="99">
        <f t="shared" si="86"/>
        <v>0</v>
      </c>
      <c r="H126" s="159"/>
      <c r="I126" s="100">
        <f t="shared" si="87"/>
        <v>0</v>
      </c>
      <c r="J126" s="100">
        <f t="shared" si="88"/>
        <v>0</v>
      </c>
      <c r="K126" s="100">
        <f t="shared" si="89"/>
        <v>0</v>
      </c>
      <c r="L126" s="100">
        <f t="shared" si="90"/>
        <v>0</v>
      </c>
      <c r="M126" s="58"/>
      <c r="N126" s="58"/>
      <c r="O126" s="242"/>
    </row>
    <row r="127" spans="1:15" s="45" customFormat="1" x14ac:dyDescent="0.25">
      <c r="A127" s="77"/>
      <c r="B127" s="77"/>
      <c r="C127" s="80"/>
      <c r="D127" s="157"/>
      <c r="E127" s="157"/>
      <c r="F127" s="83"/>
      <c r="G127" s="99">
        <f t="shared" si="86"/>
        <v>0</v>
      </c>
      <c r="H127" s="159"/>
      <c r="I127" s="100">
        <f t="shared" si="87"/>
        <v>0</v>
      </c>
      <c r="J127" s="100">
        <f t="shared" si="88"/>
        <v>0</v>
      </c>
      <c r="K127" s="100">
        <f t="shared" si="89"/>
        <v>0</v>
      </c>
      <c r="L127" s="100">
        <f t="shared" si="90"/>
        <v>0</v>
      </c>
      <c r="M127" s="58"/>
      <c r="N127" s="58"/>
      <c r="O127" s="242"/>
    </row>
    <row r="128" spans="1:15" x14ac:dyDescent="0.25">
      <c r="A128" s="150"/>
      <c r="B128" s="151" t="s">
        <v>32</v>
      </c>
      <c r="C128" s="151" t="s">
        <v>33</v>
      </c>
      <c r="D128" s="152"/>
      <c r="E128" s="152"/>
      <c r="F128" s="152"/>
      <c r="G128" s="152"/>
      <c r="H128" s="153"/>
      <c r="I128" s="153"/>
      <c r="J128" s="153"/>
      <c r="K128" s="153"/>
      <c r="L128" s="154"/>
      <c r="M128" s="45"/>
      <c r="N128" s="45"/>
      <c r="O128" s="246"/>
    </row>
    <row r="129" spans="1:15" ht="14.45" customHeight="1" x14ac:dyDescent="0.25">
      <c r="A129" s="77" t="s">
        <v>144</v>
      </c>
      <c r="B129" s="77" t="s">
        <v>149</v>
      </c>
      <c r="C129" s="80" t="s">
        <v>33</v>
      </c>
      <c r="D129" s="157">
        <v>100</v>
      </c>
      <c r="E129" s="157">
        <v>100</v>
      </c>
      <c r="F129" s="83">
        <v>100</v>
      </c>
      <c r="G129" s="99">
        <f t="shared" ref="G129" si="91">IFERROR(ROUND((F129/D129)-1,3),0)</f>
        <v>0</v>
      </c>
      <c r="H129" s="159">
        <v>100</v>
      </c>
      <c r="I129" s="100">
        <f t="shared" ref="I129" si="92">IFERROR(ROUND($D129*$H129,2),0)</f>
        <v>10000</v>
      </c>
      <c r="J129" s="100">
        <f t="shared" ref="J129" si="93">IFERROR(ROUND($E129*$H129,2),0)</f>
        <v>10000</v>
      </c>
      <c r="K129" s="100">
        <f t="shared" ref="K129" si="94">IFERROR(ROUND($F129*$H129,2),0)</f>
        <v>10000</v>
      </c>
      <c r="L129" s="100">
        <f t="shared" ref="L129" si="95">IFERROR(ROUND(K129-J129,2),0)</f>
        <v>0</v>
      </c>
      <c r="M129" s="30"/>
      <c r="O129" s="247"/>
    </row>
    <row r="130" spans="1:15" s="45" customFormat="1" x14ac:dyDescent="0.25">
      <c r="A130" s="77"/>
      <c r="B130" s="77"/>
      <c r="C130" s="80"/>
      <c r="D130" s="157"/>
      <c r="E130" s="157"/>
      <c r="F130" s="83"/>
      <c r="G130" s="99">
        <f>IFERROR(ROUND((F130/D130)-1,3),0)</f>
        <v>0</v>
      </c>
      <c r="H130" s="159"/>
      <c r="I130" s="100">
        <f>IFERROR(ROUND($D130*$H130,2),0)</f>
        <v>0</v>
      </c>
      <c r="J130" s="100">
        <f>IFERROR(ROUND($E130*$H130,2),0)</f>
        <v>0</v>
      </c>
      <c r="K130" s="100">
        <f>IFERROR(ROUND($F130*$H130,2),0)</f>
        <v>0</v>
      </c>
      <c r="L130" s="100">
        <f>IFERROR(ROUND(K130-J130,2),0)</f>
        <v>0</v>
      </c>
      <c r="M130" s="58"/>
      <c r="N130" s="58"/>
      <c r="O130" s="242"/>
    </row>
    <row r="131" spans="1:15" s="45" customFormat="1" x14ac:dyDescent="0.25">
      <c r="A131" s="77"/>
      <c r="B131" s="77"/>
      <c r="C131" s="80"/>
      <c r="D131" s="157"/>
      <c r="E131" s="157"/>
      <c r="F131" s="83"/>
      <c r="G131" s="99">
        <f t="shared" ref="G131:G133" si="96">IFERROR(ROUND((F131/D131)-1,3),0)</f>
        <v>0</v>
      </c>
      <c r="H131" s="159"/>
      <c r="I131" s="100">
        <f t="shared" ref="I131:I133" si="97">IFERROR(ROUND($D131*$H131,2),0)</f>
        <v>0</v>
      </c>
      <c r="J131" s="100">
        <f t="shared" ref="J131:J133" si="98">IFERROR(ROUND($E131*$H131,2),0)</f>
        <v>0</v>
      </c>
      <c r="K131" s="100">
        <f t="shared" ref="K131:K133" si="99">IFERROR(ROUND($F131*$H131,2),0)</f>
        <v>0</v>
      </c>
      <c r="L131" s="100">
        <f t="shared" ref="L131:L133" si="100">IFERROR(ROUND(K131-J131,2),0)</f>
        <v>0</v>
      </c>
      <c r="M131" s="58"/>
      <c r="N131" s="58"/>
      <c r="O131" s="242"/>
    </row>
    <row r="132" spans="1:15" s="45" customFormat="1" x14ac:dyDescent="0.25">
      <c r="A132" s="77"/>
      <c r="B132" s="77"/>
      <c r="C132" s="80"/>
      <c r="D132" s="157"/>
      <c r="E132" s="157"/>
      <c r="F132" s="83"/>
      <c r="G132" s="99">
        <f t="shared" si="96"/>
        <v>0</v>
      </c>
      <c r="H132" s="159"/>
      <c r="I132" s="100">
        <f t="shared" si="97"/>
        <v>0</v>
      </c>
      <c r="J132" s="100">
        <f t="shared" si="98"/>
        <v>0</v>
      </c>
      <c r="K132" s="100">
        <f t="shared" si="99"/>
        <v>0</v>
      </c>
      <c r="L132" s="100">
        <f t="shared" si="100"/>
        <v>0</v>
      </c>
      <c r="M132" s="58"/>
      <c r="N132" s="58"/>
      <c r="O132" s="242"/>
    </row>
    <row r="133" spans="1:15" s="45" customFormat="1" x14ac:dyDescent="0.25">
      <c r="A133" s="77"/>
      <c r="B133" s="77"/>
      <c r="C133" s="80"/>
      <c r="D133" s="157"/>
      <c r="E133" s="157"/>
      <c r="F133" s="83"/>
      <c r="G133" s="99">
        <f t="shared" si="96"/>
        <v>0</v>
      </c>
      <c r="H133" s="159"/>
      <c r="I133" s="100">
        <f t="shared" si="97"/>
        <v>0</v>
      </c>
      <c r="J133" s="100">
        <f t="shared" si="98"/>
        <v>0</v>
      </c>
      <c r="K133" s="100">
        <f t="shared" si="99"/>
        <v>0</v>
      </c>
      <c r="L133" s="100">
        <f t="shared" si="100"/>
        <v>0</v>
      </c>
      <c r="M133" s="58"/>
      <c r="N133" s="58"/>
      <c r="O133" s="242"/>
    </row>
    <row r="134" spans="1:15" s="58" customFormat="1" x14ac:dyDescent="0.25">
      <c r="A134" s="150"/>
      <c r="B134" s="151" t="s">
        <v>34</v>
      </c>
      <c r="C134" s="151" t="s">
        <v>35</v>
      </c>
      <c r="D134" s="152"/>
      <c r="E134" s="152"/>
      <c r="F134" s="152"/>
      <c r="G134" s="152"/>
      <c r="H134" s="153"/>
      <c r="I134" s="153"/>
      <c r="J134" s="153"/>
      <c r="K134" s="153"/>
      <c r="L134" s="154"/>
      <c r="M134" s="45"/>
      <c r="N134" s="45"/>
      <c r="O134" s="244"/>
    </row>
    <row r="135" spans="1:15" x14ac:dyDescent="0.25">
      <c r="A135" s="77" t="s">
        <v>144</v>
      </c>
      <c r="B135" s="77" t="s">
        <v>150</v>
      </c>
      <c r="C135" s="80" t="s">
        <v>35</v>
      </c>
      <c r="D135" s="157">
        <v>100</v>
      </c>
      <c r="E135" s="157">
        <v>100</v>
      </c>
      <c r="F135" s="83">
        <v>100</v>
      </c>
      <c r="G135" s="99">
        <f t="shared" ref="G135" si="101">IFERROR(ROUND((F135/D135)-1,3),0)</f>
        <v>0</v>
      </c>
      <c r="H135" s="159">
        <v>100</v>
      </c>
      <c r="I135" s="100">
        <f t="shared" ref="I135" si="102">IFERROR(ROUND($D135*$H135,2),0)</f>
        <v>10000</v>
      </c>
      <c r="J135" s="100">
        <f t="shared" ref="J135" si="103">IFERROR(ROUND($E135*$H135,2),0)</f>
        <v>10000</v>
      </c>
      <c r="K135" s="100">
        <f t="shared" ref="K135" si="104">IFERROR(ROUND($F135*$H135,2),0)</f>
        <v>10000</v>
      </c>
      <c r="L135" s="100">
        <f t="shared" ref="L135" si="105">IFERROR(ROUND(K135-J135,2),0)</f>
        <v>0</v>
      </c>
      <c r="M135" s="30"/>
      <c r="O135" s="245"/>
    </row>
    <row r="136" spans="1:15" s="45" customFormat="1" x14ac:dyDescent="0.25">
      <c r="A136" s="77"/>
      <c r="B136" s="77"/>
      <c r="C136" s="80"/>
      <c r="D136" s="157"/>
      <c r="E136" s="157"/>
      <c r="F136" s="83"/>
      <c r="G136" s="99">
        <f>IFERROR(ROUND((F136/D136)-1,3),0)</f>
        <v>0</v>
      </c>
      <c r="H136" s="159"/>
      <c r="I136" s="100">
        <f>IFERROR(ROUND($D136*$H136,2),0)</f>
        <v>0</v>
      </c>
      <c r="J136" s="100">
        <f>IFERROR(ROUND($E136*$H136,2),0)</f>
        <v>0</v>
      </c>
      <c r="K136" s="100">
        <f>IFERROR(ROUND($F136*$H136,2),0)</f>
        <v>0</v>
      </c>
      <c r="L136" s="100">
        <f>IFERROR(ROUND(K136-J136,2),0)</f>
        <v>0</v>
      </c>
      <c r="M136" s="58"/>
      <c r="N136" s="58"/>
      <c r="O136" s="242"/>
    </row>
    <row r="137" spans="1:15" s="45" customFormat="1" x14ac:dyDescent="0.25">
      <c r="A137" s="77"/>
      <c r="B137" s="77"/>
      <c r="C137" s="80"/>
      <c r="D137" s="157"/>
      <c r="E137" s="157"/>
      <c r="F137" s="83"/>
      <c r="G137" s="99">
        <f t="shared" ref="G137:G139" si="106">IFERROR(ROUND((F137/D137)-1,3),0)</f>
        <v>0</v>
      </c>
      <c r="H137" s="159"/>
      <c r="I137" s="100">
        <f t="shared" ref="I137:I139" si="107">IFERROR(ROUND($D137*$H137,2),0)</f>
        <v>0</v>
      </c>
      <c r="J137" s="100">
        <f t="shared" ref="J137:J139" si="108">IFERROR(ROUND($E137*$H137,2),0)</f>
        <v>0</v>
      </c>
      <c r="K137" s="100">
        <f t="shared" ref="K137:K139" si="109">IFERROR(ROUND($F137*$H137,2),0)</f>
        <v>0</v>
      </c>
      <c r="L137" s="100">
        <f t="shared" ref="L137:L139" si="110">IFERROR(ROUND(K137-J137,2),0)</f>
        <v>0</v>
      </c>
      <c r="M137" s="58"/>
      <c r="N137" s="58"/>
      <c r="O137" s="242"/>
    </row>
    <row r="138" spans="1:15" s="45" customFormat="1" x14ac:dyDescent="0.25">
      <c r="A138" s="77"/>
      <c r="B138" s="77"/>
      <c r="C138" s="80"/>
      <c r="D138" s="157"/>
      <c r="E138" s="157"/>
      <c r="F138" s="83"/>
      <c r="G138" s="99">
        <f t="shared" si="106"/>
        <v>0</v>
      </c>
      <c r="H138" s="159"/>
      <c r="I138" s="100">
        <f t="shared" si="107"/>
        <v>0</v>
      </c>
      <c r="J138" s="100">
        <f t="shared" si="108"/>
        <v>0</v>
      </c>
      <c r="K138" s="100">
        <f t="shared" si="109"/>
        <v>0</v>
      </c>
      <c r="L138" s="100">
        <f t="shared" si="110"/>
        <v>0</v>
      </c>
      <c r="M138" s="58"/>
      <c r="N138" s="58"/>
      <c r="O138" s="242"/>
    </row>
    <row r="139" spans="1:15" s="45" customFormat="1" x14ac:dyDescent="0.25">
      <c r="A139" s="77"/>
      <c r="B139" s="77"/>
      <c r="C139" s="80"/>
      <c r="D139" s="157"/>
      <c r="E139" s="157"/>
      <c r="F139" s="83"/>
      <c r="G139" s="99">
        <f t="shared" si="106"/>
        <v>0</v>
      </c>
      <c r="H139" s="159"/>
      <c r="I139" s="100">
        <f t="shared" si="107"/>
        <v>0</v>
      </c>
      <c r="J139" s="100">
        <f t="shared" si="108"/>
        <v>0</v>
      </c>
      <c r="K139" s="100">
        <f t="shared" si="109"/>
        <v>0</v>
      </c>
      <c r="L139" s="100">
        <f t="shared" si="110"/>
        <v>0</v>
      </c>
      <c r="M139" s="58"/>
      <c r="N139" s="58"/>
      <c r="O139" s="242"/>
    </row>
    <row r="140" spans="1:15" x14ac:dyDescent="0.25">
      <c r="A140" s="150"/>
      <c r="B140" s="151" t="s">
        <v>36</v>
      </c>
      <c r="C140" s="151" t="s">
        <v>37</v>
      </c>
      <c r="D140" s="152"/>
      <c r="E140" s="152"/>
      <c r="F140" s="152"/>
      <c r="G140" s="152"/>
      <c r="H140" s="153"/>
      <c r="I140" s="153"/>
      <c r="J140" s="153"/>
      <c r="K140" s="153"/>
      <c r="L140" s="154"/>
      <c r="M140" s="45"/>
      <c r="N140" s="45"/>
      <c r="O140" s="244"/>
    </row>
    <row r="141" spans="1:15" s="45" customFormat="1" x14ac:dyDescent="0.25">
      <c r="A141" s="77" t="s">
        <v>144</v>
      </c>
      <c r="B141" s="77" t="s">
        <v>151</v>
      </c>
      <c r="C141" s="80" t="s">
        <v>37</v>
      </c>
      <c r="D141" s="157">
        <v>100</v>
      </c>
      <c r="E141" s="157">
        <v>100</v>
      </c>
      <c r="F141" s="83">
        <v>100</v>
      </c>
      <c r="G141" s="99">
        <f t="shared" ref="G141" si="111">IFERROR(ROUND((F141/D141)-1,3),0)</f>
        <v>0</v>
      </c>
      <c r="H141" s="159">
        <v>100</v>
      </c>
      <c r="I141" s="100">
        <f t="shared" ref="I141" si="112">IFERROR(ROUND($D141*$H141,2),0)</f>
        <v>10000</v>
      </c>
      <c r="J141" s="100">
        <f t="shared" ref="J141" si="113">IFERROR(ROUND($E141*$H141,2),0)</f>
        <v>10000</v>
      </c>
      <c r="K141" s="100">
        <f t="shared" ref="K141" si="114">IFERROR(ROUND($F141*$H141,2),0)</f>
        <v>10000</v>
      </c>
      <c r="L141" s="100">
        <f t="shared" ref="L141" si="115">IFERROR(ROUND(K141-J141,2),0)</f>
        <v>0</v>
      </c>
      <c r="M141" s="30"/>
      <c r="N141" s="30"/>
      <c r="O141" s="242"/>
    </row>
    <row r="142" spans="1:15" s="45" customFormat="1" x14ac:dyDescent="0.25">
      <c r="A142" s="77"/>
      <c r="B142" s="77"/>
      <c r="C142" s="80"/>
      <c r="D142" s="157"/>
      <c r="E142" s="157"/>
      <c r="F142" s="83"/>
      <c r="G142" s="99">
        <f>IFERROR(ROUND((F142/D142)-1,3),0)</f>
        <v>0</v>
      </c>
      <c r="H142" s="159"/>
      <c r="I142" s="100">
        <f>IFERROR(ROUND($D142*$H142,2),0)</f>
        <v>0</v>
      </c>
      <c r="J142" s="100">
        <f>IFERROR(ROUND($E142*$H142,2),0)</f>
        <v>0</v>
      </c>
      <c r="K142" s="100">
        <f>IFERROR(ROUND($F142*$H142,2),0)</f>
        <v>0</v>
      </c>
      <c r="L142" s="100">
        <f>IFERROR(ROUND(K142-J142,2),0)</f>
        <v>0</v>
      </c>
      <c r="M142" s="58"/>
      <c r="N142" s="58"/>
      <c r="O142" s="242"/>
    </row>
    <row r="143" spans="1:15" s="45" customFormat="1" x14ac:dyDescent="0.25">
      <c r="A143" s="77"/>
      <c r="B143" s="77"/>
      <c r="C143" s="80"/>
      <c r="D143" s="157"/>
      <c r="E143" s="157"/>
      <c r="F143" s="83"/>
      <c r="G143" s="99">
        <f t="shared" ref="G143:G145" si="116">IFERROR(ROUND((F143/D143)-1,3),0)</f>
        <v>0</v>
      </c>
      <c r="H143" s="159"/>
      <c r="I143" s="100">
        <f t="shared" ref="I143:I145" si="117">IFERROR(ROUND($D143*$H143,2),0)</f>
        <v>0</v>
      </c>
      <c r="J143" s="100">
        <f t="shared" ref="J143:J145" si="118">IFERROR(ROUND($E143*$H143,2),0)</f>
        <v>0</v>
      </c>
      <c r="K143" s="100">
        <f t="shared" ref="K143:K145" si="119">IFERROR(ROUND($F143*$H143,2),0)</f>
        <v>0</v>
      </c>
      <c r="L143" s="100">
        <f t="shared" ref="L143:L145" si="120">IFERROR(ROUND(K143-J143,2),0)</f>
        <v>0</v>
      </c>
      <c r="M143" s="58"/>
      <c r="N143" s="58"/>
      <c r="O143" s="242"/>
    </row>
    <row r="144" spans="1:15" s="45" customFormat="1" x14ac:dyDescent="0.25">
      <c r="A144" s="77"/>
      <c r="B144" s="77"/>
      <c r="C144" s="80"/>
      <c r="D144" s="157"/>
      <c r="E144" s="157"/>
      <c r="F144" s="83"/>
      <c r="G144" s="99">
        <f t="shared" si="116"/>
        <v>0</v>
      </c>
      <c r="H144" s="159"/>
      <c r="I144" s="100">
        <f t="shared" si="117"/>
        <v>0</v>
      </c>
      <c r="J144" s="100">
        <f t="shared" si="118"/>
        <v>0</v>
      </c>
      <c r="K144" s="100">
        <f t="shared" si="119"/>
        <v>0</v>
      </c>
      <c r="L144" s="100">
        <f t="shared" si="120"/>
        <v>0</v>
      </c>
      <c r="M144" s="58"/>
      <c r="N144" s="58"/>
      <c r="O144" s="242"/>
    </row>
    <row r="145" spans="1:15" s="45" customFormat="1" x14ac:dyDescent="0.25">
      <c r="A145" s="77"/>
      <c r="B145" s="77"/>
      <c r="C145" s="80"/>
      <c r="D145" s="157"/>
      <c r="E145" s="157"/>
      <c r="F145" s="83"/>
      <c r="G145" s="99">
        <f t="shared" si="116"/>
        <v>0</v>
      </c>
      <c r="H145" s="159"/>
      <c r="I145" s="100">
        <f t="shared" si="117"/>
        <v>0</v>
      </c>
      <c r="J145" s="100">
        <f t="shared" si="118"/>
        <v>0</v>
      </c>
      <c r="K145" s="100">
        <f t="shared" si="119"/>
        <v>0</v>
      </c>
      <c r="L145" s="100">
        <f t="shared" si="120"/>
        <v>0</v>
      </c>
      <c r="M145" s="58"/>
      <c r="N145" s="58"/>
      <c r="O145" s="242"/>
    </row>
    <row r="146" spans="1:15" x14ac:dyDescent="0.25">
      <c r="A146" s="150"/>
      <c r="B146" s="151" t="s">
        <v>39</v>
      </c>
      <c r="C146" s="151" t="s">
        <v>40</v>
      </c>
      <c r="D146" s="152"/>
      <c r="E146" s="152"/>
      <c r="F146" s="152"/>
      <c r="G146" s="152"/>
      <c r="H146" s="153"/>
      <c r="I146" s="153"/>
      <c r="J146" s="153"/>
      <c r="K146" s="153"/>
      <c r="L146" s="154"/>
      <c r="M146" s="45"/>
      <c r="N146" s="45"/>
      <c r="O146" s="244"/>
    </row>
    <row r="147" spans="1:15" x14ac:dyDescent="0.25">
      <c r="A147" s="77" t="s">
        <v>144</v>
      </c>
      <c r="B147" s="77" t="s">
        <v>152</v>
      </c>
      <c r="C147" s="80" t="s">
        <v>40</v>
      </c>
      <c r="D147" s="157">
        <v>100</v>
      </c>
      <c r="E147" s="157">
        <v>100</v>
      </c>
      <c r="F147" s="83">
        <v>100</v>
      </c>
      <c r="G147" s="99">
        <f t="shared" ref="G147:G151" si="121">IFERROR(ROUND((F147/D147)-1,3),0)</f>
        <v>0</v>
      </c>
      <c r="H147" s="159">
        <v>100</v>
      </c>
      <c r="I147" s="100">
        <f t="shared" ref="I147:I151" si="122">IFERROR(ROUND($D147*$H147,2),0)</f>
        <v>10000</v>
      </c>
      <c r="J147" s="100">
        <f t="shared" ref="J147:J151" si="123">IFERROR(ROUND($E147*$H147,2),0)</f>
        <v>10000</v>
      </c>
      <c r="K147" s="100">
        <f t="shared" ref="K147:K151" si="124">IFERROR(ROUND($F147*$H147,2),0)</f>
        <v>10000</v>
      </c>
      <c r="L147" s="100">
        <f t="shared" ref="L147:L151" si="125">IFERROR(ROUND(K147-J147,2),0)</f>
        <v>0</v>
      </c>
      <c r="M147" s="30"/>
      <c r="O147" s="244"/>
    </row>
    <row r="148" spans="1:15" s="45" customFormat="1" x14ac:dyDescent="0.25">
      <c r="A148" s="77"/>
      <c r="B148" s="77"/>
      <c r="C148" s="80"/>
      <c r="D148" s="157"/>
      <c r="E148" s="157"/>
      <c r="F148" s="83"/>
      <c r="G148" s="99">
        <f t="shared" si="121"/>
        <v>0</v>
      </c>
      <c r="H148" s="159"/>
      <c r="I148" s="100">
        <f t="shared" si="122"/>
        <v>0</v>
      </c>
      <c r="J148" s="100">
        <f t="shared" si="123"/>
        <v>0</v>
      </c>
      <c r="K148" s="100">
        <f t="shared" si="124"/>
        <v>0</v>
      </c>
      <c r="L148" s="100">
        <f t="shared" si="125"/>
        <v>0</v>
      </c>
      <c r="M148" s="30"/>
      <c r="N148" s="30"/>
      <c r="O148" s="242"/>
    </row>
    <row r="149" spans="1:15" x14ac:dyDescent="0.25">
      <c r="A149" s="77"/>
      <c r="B149" s="77"/>
      <c r="C149" s="80"/>
      <c r="D149" s="157"/>
      <c r="E149" s="157"/>
      <c r="F149" s="83"/>
      <c r="G149" s="99">
        <f t="shared" si="121"/>
        <v>0</v>
      </c>
      <c r="H149" s="159"/>
      <c r="I149" s="100">
        <f t="shared" si="122"/>
        <v>0</v>
      </c>
      <c r="J149" s="100">
        <f t="shared" si="123"/>
        <v>0</v>
      </c>
      <c r="K149" s="100">
        <f t="shared" si="124"/>
        <v>0</v>
      </c>
      <c r="L149" s="100">
        <f t="shared" si="125"/>
        <v>0</v>
      </c>
      <c r="M149" s="30"/>
      <c r="O149" s="244"/>
    </row>
    <row r="150" spans="1:15" x14ac:dyDescent="0.25">
      <c r="A150" s="77"/>
      <c r="B150" s="77"/>
      <c r="C150" s="80"/>
      <c r="D150" s="157"/>
      <c r="E150" s="157"/>
      <c r="F150" s="83"/>
      <c r="G150" s="99">
        <f t="shared" si="121"/>
        <v>0</v>
      </c>
      <c r="H150" s="159"/>
      <c r="I150" s="100">
        <f t="shared" si="122"/>
        <v>0</v>
      </c>
      <c r="J150" s="100">
        <f t="shared" si="123"/>
        <v>0</v>
      </c>
      <c r="K150" s="100">
        <f t="shared" si="124"/>
        <v>0</v>
      </c>
      <c r="L150" s="100">
        <f t="shared" si="125"/>
        <v>0</v>
      </c>
      <c r="M150" s="30"/>
      <c r="O150" s="244"/>
    </row>
    <row r="151" spans="1:15" x14ac:dyDescent="0.25">
      <c r="A151" s="77"/>
      <c r="B151" s="77"/>
      <c r="C151" s="80"/>
      <c r="D151" s="157"/>
      <c r="E151" s="157"/>
      <c r="F151" s="83"/>
      <c r="G151" s="99">
        <f t="shared" si="121"/>
        <v>0</v>
      </c>
      <c r="H151" s="159"/>
      <c r="I151" s="100">
        <f t="shared" si="122"/>
        <v>0</v>
      </c>
      <c r="J151" s="100">
        <f t="shared" si="123"/>
        <v>0</v>
      </c>
      <c r="K151" s="100">
        <f t="shared" si="124"/>
        <v>0</v>
      </c>
      <c r="L151" s="100">
        <f t="shared" si="125"/>
        <v>0</v>
      </c>
      <c r="M151" s="30"/>
      <c r="O151" s="244"/>
    </row>
    <row r="152" spans="1:15" x14ac:dyDescent="0.25">
      <c r="A152" s="150"/>
      <c r="B152" s="151" t="s">
        <v>41</v>
      </c>
      <c r="C152" s="151" t="s">
        <v>42</v>
      </c>
      <c r="D152" s="152"/>
      <c r="E152" s="152"/>
      <c r="F152" s="152"/>
      <c r="G152" s="152"/>
      <c r="H152" s="153"/>
      <c r="I152" s="153"/>
      <c r="J152" s="153"/>
      <c r="K152" s="153"/>
      <c r="L152" s="154"/>
      <c r="M152" s="45"/>
      <c r="N152" s="45"/>
      <c r="O152" s="244"/>
    </row>
    <row r="153" spans="1:15" x14ac:dyDescent="0.25">
      <c r="A153" s="77" t="s">
        <v>144</v>
      </c>
      <c r="B153" s="78" t="s">
        <v>159</v>
      </c>
      <c r="C153" s="80" t="s">
        <v>42</v>
      </c>
      <c r="D153" s="81">
        <v>100</v>
      </c>
      <c r="E153" s="81">
        <v>100</v>
      </c>
      <c r="F153" s="81">
        <v>100</v>
      </c>
      <c r="G153" s="99">
        <f t="shared" ref="G153:G157" si="126">IFERROR(ROUND((F153/D153)-1,3),0)</f>
        <v>0</v>
      </c>
      <c r="H153" s="159">
        <v>100</v>
      </c>
      <c r="I153" s="100">
        <f t="shared" ref="I153:I157" si="127">IFERROR(ROUND($D153*$H153,2),0)</f>
        <v>10000</v>
      </c>
      <c r="J153" s="100">
        <f t="shared" ref="J153:J157" si="128">IFERROR(ROUND($E153*$H153,2),0)</f>
        <v>10000</v>
      </c>
      <c r="K153" s="100">
        <f t="shared" ref="K153:K157" si="129">IFERROR(ROUND($F153*$H153,2),0)</f>
        <v>10000</v>
      </c>
      <c r="L153" s="100">
        <f t="shared" ref="L153:L157" si="130">IFERROR(ROUND(K153-J153,2),0)</f>
        <v>0</v>
      </c>
      <c r="M153" s="30"/>
      <c r="O153" s="244"/>
    </row>
    <row r="154" spans="1:15" s="45" customFormat="1" x14ac:dyDescent="0.25">
      <c r="A154" s="77"/>
      <c r="B154" s="77"/>
      <c r="C154" s="80"/>
      <c r="D154" s="157"/>
      <c r="E154" s="157"/>
      <c r="F154" s="83"/>
      <c r="G154" s="99">
        <f t="shared" si="126"/>
        <v>0</v>
      </c>
      <c r="H154" s="159"/>
      <c r="I154" s="100">
        <f t="shared" si="127"/>
        <v>0</v>
      </c>
      <c r="J154" s="100">
        <f t="shared" si="128"/>
        <v>0</v>
      </c>
      <c r="K154" s="100">
        <f t="shared" si="129"/>
        <v>0</v>
      </c>
      <c r="L154" s="100">
        <f t="shared" si="130"/>
        <v>0</v>
      </c>
      <c r="M154" s="30"/>
      <c r="N154" s="30"/>
      <c r="O154" s="242"/>
    </row>
    <row r="155" spans="1:15" x14ac:dyDescent="0.25">
      <c r="A155" s="77"/>
      <c r="B155" s="77"/>
      <c r="C155" s="80"/>
      <c r="D155" s="157"/>
      <c r="E155" s="157"/>
      <c r="F155" s="83"/>
      <c r="G155" s="99">
        <f t="shared" si="126"/>
        <v>0</v>
      </c>
      <c r="H155" s="159"/>
      <c r="I155" s="100">
        <f t="shared" si="127"/>
        <v>0</v>
      </c>
      <c r="J155" s="100">
        <f t="shared" si="128"/>
        <v>0</v>
      </c>
      <c r="K155" s="100">
        <f t="shared" si="129"/>
        <v>0</v>
      </c>
      <c r="L155" s="100">
        <f t="shared" si="130"/>
        <v>0</v>
      </c>
      <c r="M155" s="30"/>
      <c r="O155" s="244"/>
    </row>
    <row r="156" spans="1:15" x14ac:dyDescent="0.25">
      <c r="A156" s="77"/>
      <c r="B156" s="77"/>
      <c r="C156" s="80"/>
      <c r="D156" s="157"/>
      <c r="E156" s="157"/>
      <c r="F156" s="83"/>
      <c r="G156" s="99">
        <f t="shared" si="126"/>
        <v>0</v>
      </c>
      <c r="H156" s="159"/>
      <c r="I156" s="100">
        <f t="shared" si="127"/>
        <v>0</v>
      </c>
      <c r="J156" s="100">
        <f t="shared" si="128"/>
        <v>0</v>
      </c>
      <c r="K156" s="100">
        <f t="shared" si="129"/>
        <v>0</v>
      </c>
      <c r="L156" s="100">
        <f t="shared" si="130"/>
        <v>0</v>
      </c>
      <c r="M156" s="30"/>
      <c r="O156" s="244"/>
    </row>
    <row r="157" spans="1:15" x14ac:dyDescent="0.25">
      <c r="A157" s="77"/>
      <c r="B157" s="77"/>
      <c r="C157" s="80"/>
      <c r="D157" s="157"/>
      <c r="E157" s="157"/>
      <c r="F157" s="83"/>
      <c r="G157" s="99">
        <f t="shared" si="126"/>
        <v>0</v>
      </c>
      <c r="H157" s="159"/>
      <c r="I157" s="100">
        <f t="shared" si="127"/>
        <v>0</v>
      </c>
      <c r="J157" s="100">
        <f t="shared" si="128"/>
        <v>0</v>
      </c>
      <c r="K157" s="100">
        <f t="shared" si="129"/>
        <v>0</v>
      </c>
      <c r="L157" s="100">
        <f t="shared" si="130"/>
        <v>0</v>
      </c>
      <c r="M157" s="30"/>
      <c r="O157" s="244"/>
    </row>
    <row r="158" spans="1:15" ht="30" x14ac:dyDescent="0.25">
      <c r="A158" s="150"/>
      <c r="B158" s="151" t="s">
        <v>46</v>
      </c>
      <c r="C158" s="151" t="s">
        <v>47</v>
      </c>
      <c r="D158" s="152"/>
      <c r="E158" s="152"/>
      <c r="F158" s="152"/>
      <c r="G158" s="152"/>
      <c r="H158" s="153"/>
      <c r="I158" s="153"/>
      <c r="J158" s="153"/>
      <c r="K158" s="153"/>
      <c r="L158" s="154"/>
      <c r="M158" s="45"/>
      <c r="N158" s="45"/>
      <c r="O158" s="244"/>
    </row>
    <row r="159" spans="1:15" x14ac:dyDescent="0.25">
      <c r="A159" s="77" t="s">
        <v>144</v>
      </c>
      <c r="B159" s="77" t="s">
        <v>154</v>
      </c>
      <c r="C159" s="80" t="s">
        <v>47</v>
      </c>
      <c r="D159" s="157">
        <v>100</v>
      </c>
      <c r="E159" s="157">
        <v>100</v>
      </c>
      <c r="F159" s="83">
        <v>100</v>
      </c>
      <c r="G159" s="99">
        <f t="shared" ref="G159:G163" si="131">IFERROR(ROUND((F159/D159)-1,3),0)</f>
        <v>0</v>
      </c>
      <c r="H159" s="159">
        <v>100</v>
      </c>
      <c r="I159" s="100">
        <f t="shared" ref="I159:I163" si="132">IFERROR(ROUND($D159*$H159,2),0)</f>
        <v>10000</v>
      </c>
      <c r="J159" s="100">
        <f t="shared" ref="J159:J163" si="133">IFERROR(ROUND($E159*$H159,2),0)</f>
        <v>10000</v>
      </c>
      <c r="K159" s="100">
        <f t="shared" ref="K159:K163" si="134">IFERROR(ROUND($F159*$H159,2),0)</f>
        <v>10000</v>
      </c>
      <c r="L159" s="100">
        <f t="shared" ref="L159:L163" si="135">IFERROR(ROUND(K159-J159,2),0)</f>
        <v>0</v>
      </c>
      <c r="M159" s="30"/>
      <c r="O159" s="244"/>
    </row>
    <row r="160" spans="1:15" s="45" customFormat="1" x14ac:dyDescent="0.25">
      <c r="A160" s="77"/>
      <c r="B160" s="77"/>
      <c r="C160" s="80"/>
      <c r="D160" s="157"/>
      <c r="E160" s="157"/>
      <c r="F160" s="83"/>
      <c r="G160" s="99">
        <f t="shared" si="131"/>
        <v>0</v>
      </c>
      <c r="H160" s="159"/>
      <c r="I160" s="100">
        <f>IFERROR(ROUND($D160*$H160,2),0)</f>
        <v>0</v>
      </c>
      <c r="J160" s="100">
        <f t="shared" si="133"/>
        <v>0</v>
      </c>
      <c r="K160" s="100">
        <f t="shared" si="134"/>
        <v>0</v>
      </c>
      <c r="L160" s="100">
        <f t="shared" si="135"/>
        <v>0</v>
      </c>
      <c r="M160" s="30"/>
      <c r="N160" s="30"/>
      <c r="O160" s="242"/>
    </row>
    <row r="161" spans="1:15" x14ac:dyDescent="0.25">
      <c r="A161" s="77"/>
      <c r="B161" s="77"/>
      <c r="C161" s="80"/>
      <c r="D161" s="157"/>
      <c r="E161" s="157"/>
      <c r="F161" s="83"/>
      <c r="G161" s="99">
        <f t="shared" si="131"/>
        <v>0</v>
      </c>
      <c r="H161" s="159"/>
      <c r="I161" s="100">
        <f t="shared" si="132"/>
        <v>0</v>
      </c>
      <c r="J161" s="100">
        <f t="shared" si="133"/>
        <v>0</v>
      </c>
      <c r="K161" s="100">
        <f t="shared" si="134"/>
        <v>0</v>
      </c>
      <c r="L161" s="100">
        <f t="shared" si="135"/>
        <v>0</v>
      </c>
      <c r="M161" s="30"/>
      <c r="O161" s="244"/>
    </row>
    <row r="162" spans="1:15" x14ac:dyDescent="0.25">
      <c r="A162" s="77"/>
      <c r="B162" s="77"/>
      <c r="C162" s="80"/>
      <c r="D162" s="157"/>
      <c r="E162" s="157"/>
      <c r="F162" s="83"/>
      <c r="G162" s="99">
        <f t="shared" si="131"/>
        <v>0</v>
      </c>
      <c r="H162" s="159"/>
      <c r="I162" s="100">
        <f t="shared" si="132"/>
        <v>0</v>
      </c>
      <c r="J162" s="100">
        <f t="shared" si="133"/>
        <v>0</v>
      </c>
      <c r="K162" s="100">
        <f t="shared" si="134"/>
        <v>0</v>
      </c>
      <c r="L162" s="100">
        <f t="shared" si="135"/>
        <v>0</v>
      </c>
      <c r="M162" s="30"/>
      <c r="O162" s="244"/>
    </row>
    <row r="163" spans="1:15" x14ac:dyDescent="0.25">
      <c r="A163" s="77"/>
      <c r="B163" s="77"/>
      <c r="C163" s="80"/>
      <c r="D163" s="157"/>
      <c r="E163" s="157"/>
      <c r="F163" s="83"/>
      <c r="G163" s="99">
        <f t="shared" si="131"/>
        <v>0</v>
      </c>
      <c r="H163" s="159"/>
      <c r="I163" s="100">
        <f t="shared" si="132"/>
        <v>0</v>
      </c>
      <c r="J163" s="100">
        <f t="shared" si="133"/>
        <v>0</v>
      </c>
      <c r="K163" s="100">
        <f t="shared" si="134"/>
        <v>0</v>
      </c>
      <c r="L163" s="100">
        <f t="shared" si="135"/>
        <v>0</v>
      </c>
      <c r="M163" s="30"/>
      <c r="O163" s="244"/>
    </row>
    <row r="164" spans="1:15" s="45" customFormat="1" x14ac:dyDescent="0.25">
      <c r="A164" s="91"/>
      <c r="B164" s="27"/>
      <c r="C164" s="64"/>
      <c r="D164" s="26"/>
      <c r="E164" s="26"/>
      <c r="F164" s="26"/>
      <c r="G164" s="26"/>
      <c r="H164" s="26"/>
      <c r="I164" s="28"/>
      <c r="J164" s="28"/>
      <c r="K164" s="28"/>
      <c r="L164" s="29"/>
      <c r="M164" s="30"/>
      <c r="N164" s="30"/>
      <c r="O164" s="242"/>
    </row>
    <row r="165" spans="1:15" x14ac:dyDescent="0.25">
      <c r="A165" s="91"/>
      <c r="B165" s="27"/>
      <c r="C165" s="64"/>
      <c r="D165" s="26"/>
      <c r="I165" s="28"/>
      <c r="L165" s="29"/>
      <c r="M165" s="30"/>
      <c r="O165" s="244"/>
    </row>
    <row r="166" spans="1:15" x14ac:dyDescent="0.25">
      <c r="A166" s="91"/>
      <c r="B166" s="27"/>
      <c r="C166" s="64"/>
      <c r="D166" s="26"/>
      <c r="I166" s="28"/>
      <c r="L166" s="29"/>
      <c r="M166" s="30"/>
      <c r="O166" s="244"/>
    </row>
    <row r="167" spans="1:15" s="45" customFormat="1" x14ac:dyDescent="0.25">
      <c r="A167" s="30"/>
      <c r="B167" s="91"/>
      <c r="C167" s="27"/>
      <c r="D167" s="64"/>
      <c r="E167" s="26"/>
      <c r="F167" s="26"/>
      <c r="G167" s="26"/>
      <c r="H167" s="26"/>
      <c r="I167" s="26"/>
      <c r="J167" s="28"/>
      <c r="K167" s="28"/>
      <c r="L167" s="28"/>
      <c r="M167" s="29"/>
      <c r="N167" s="30"/>
      <c r="O167" s="242"/>
    </row>
    <row r="168" spans="1:15" x14ac:dyDescent="0.25">
      <c r="O168" s="244"/>
    </row>
    <row r="169" spans="1:15" x14ac:dyDescent="0.25">
      <c r="O169" s="244"/>
    </row>
    <row r="170" spans="1:15" x14ac:dyDescent="0.25">
      <c r="O170" s="244"/>
    </row>
    <row r="171" spans="1:15" x14ac:dyDescent="0.25">
      <c r="O171" s="244"/>
    </row>
    <row r="172" spans="1:15" x14ac:dyDescent="0.25">
      <c r="O172" s="244"/>
    </row>
    <row r="173" spans="1:15" x14ac:dyDescent="0.25">
      <c r="O173" s="244"/>
    </row>
    <row r="174" spans="1:15" x14ac:dyDescent="0.25">
      <c r="O174" s="244"/>
    </row>
    <row r="175" spans="1:15" x14ac:dyDescent="0.25">
      <c r="O175" s="244"/>
    </row>
    <row r="176" spans="1:15" x14ac:dyDescent="0.25">
      <c r="O176" s="244"/>
    </row>
    <row r="177" spans="15:15" x14ac:dyDescent="0.25">
      <c r="O177" s="244"/>
    </row>
    <row r="178" spans="15:15" x14ac:dyDescent="0.25">
      <c r="O178" s="244"/>
    </row>
    <row r="179" spans="15:15" x14ac:dyDescent="0.25">
      <c r="O179" s="244"/>
    </row>
    <row r="180" spans="15:15" x14ac:dyDescent="0.25">
      <c r="O180" s="244"/>
    </row>
    <row r="181" spans="15:15" x14ac:dyDescent="0.25">
      <c r="O181" s="244"/>
    </row>
    <row r="182" spans="15:15" x14ac:dyDescent="0.25">
      <c r="O182" s="244"/>
    </row>
    <row r="183" spans="15:15" x14ac:dyDescent="0.25">
      <c r="O183" s="244"/>
    </row>
    <row r="184" spans="15:15" x14ac:dyDescent="0.25">
      <c r="O184" s="244"/>
    </row>
    <row r="185" spans="15:15" x14ac:dyDescent="0.25">
      <c r="O185" s="244"/>
    </row>
    <row r="186" spans="15:15" x14ac:dyDescent="0.25">
      <c r="O186" s="244"/>
    </row>
    <row r="187" spans="15:15" x14ac:dyDescent="0.25">
      <c r="O187" s="58"/>
    </row>
    <row r="188" spans="15:15" x14ac:dyDescent="0.25">
      <c r="O188" s="58"/>
    </row>
  </sheetData>
  <mergeCells count="19">
    <mergeCell ref="C8:D8"/>
    <mergeCell ref="A9:B9"/>
    <mergeCell ref="A10:B10"/>
    <mergeCell ref="A7:B7"/>
    <mergeCell ref="A8:B8"/>
    <mergeCell ref="A1:B1"/>
    <mergeCell ref="A2:B2"/>
    <mergeCell ref="A3:B3"/>
    <mergeCell ref="A4:B4"/>
    <mergeCell ref="A5:B5"/>
    <mergeCell ref="J12:L12"/>
    <mergeCell ref="M12:O12"/>
    <mergeCell ref="I100:K100"/>
    <mergeCell ref="A12:A14"/>
    <mergeCell ref="A26:N27"/>
    <mergeCell ref="K29:M29"/>
    <mergeCell ref="G12:I12"/>
    <mergeCell ref="A97:L98"/>
    <mergeCell ref="B12:F12"/>
  </mergeCells>
  <conditionalFormatting sqref="F24">
    <cfRule type="expression" dxfId="5" priority="1">
      <formula>$F24="Fail"</formula>
    </cfRule>
    <cfRule type="expression" dxfId="4" priority="2">
      <formula>$F24="Pass"</formula>
    </cfRule>
  </conditionalFormatting>
  <conditionalFormatting sqref="F16:F22">
    <cfRule type="expression" dxfId="3" priority="3">
      <formula>$F16="Fail"</formula>
    </cfRule>
    <cfRule type="expression" dxfId="2" priority="4">
      <formula>$F16="Pass"</formula>
    </cfRule>
  </conditionalFormatting>
  <conditionalFormatting sqref="E23">
    <cfRule type="expression" dxfId="1" priority="5">
      <formula>$E23="Fail"</formula>
    </cfRule>
    <cfRule type="expression" dxfId="0" priority="6">
      <formula>$E23="Pass"</formula>
    </cfRule>
  </conditionalFormatting>
  <pageMargins left="0.25" right="0.25" top="0.75" bottom="0.75" header="0.3" footer="0.3"/>
  <pageSetup paperSize="5" scale="52"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Exogenous Costs</vt:lpstr>
      <vt:lpstr>Factor Dev</vt:lpstr>
      <vt:lpstr>BDS Track 1 TRP</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2020-04-08T13:05:58Z</dcterms:created>
  <dcterms:modified xsi:type="dcterms:W3CDTF">2020-05-12T22:06:58Z</dcterms:modified>
  <cp:category/>
</cp:coreProperties>
</file>