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hidePivotFieldList="1" defaultThemeVersion="166925"/>
  <xr:revisionPtr revIDLastSave="0" documentId="8_{E746DC2B-ACCE-4B29-ACE4-C7C0E8EBFA26}" xr6:coauthVersionLast="44" xr6:coauthVersionMax="44" xr10:uidLastSave="{00000000-0000-0000-0000-000000000000}"/>
  <bookViews>
    <workbookView xWindow="-120" yWindow="-120" windowWidth="24240" windowHeight="13140" tabRatio="734" activeTab="7" xr2:uid="{00000000-000D-0000-FFFF-FFFF00000000}"/>
  </bookViews>
  <sheets>
    <sheet name="Instructions" sheetId="21" r:id="rId1"/>
    <sheet name="Exogenous Costs" sheetId="24" r:id="rId2"/>
    <sheet name="Factor Dev" sheetId="5" r:id="rId3"/>
    <sheet name="222222 TRP" sheetId="19" r:id="rId4"/>
    <sheet name="222223 TRP" sheetId="53" r:id="rId5"/>
    <sheet name="222224 TRP" sheetId="54" r:id="rId6"/>
    <sheet name="222225 TRP" sheetId="56" r:id="rId7"/>
    <sheet name="Holding Company TRP" sheetId="20" r:id="rId8"/>
  </sheets>
  <definedNames>
    <definedName name="_xlnm.Print_Titles" localSheetId="3">'222222 TRP'!$1:$4</definedName>
    <definedName name="_xlnm.Print_Titles" localSheetId="4">'222223 TRP'!$1:$4</definedName>
    <definedName name="_xlnm.Print_Titles" localSheetId="5">'222224 TRP'!$1:$4</definedName>
    <definedName name="_xlnm.Print_Titles" localSheetId="6">'222225 TRP'!$1:$4</definedName>
    <definedName name="_xlnm.Print_Titles" localSheetId="1">'Exogenous Costs'!$2:$5</definedName>
    <definedName name="_xlnm.Print_Titles" localSheetId="2">'Factor Dev'!$2:$5</definedName>
    <definedName name="_xlnm.Print_Titles" localSheetId="7">'Holding Company TRP'!$1:$4</definedName>
    <definedName name="SA300633NONRECUR" localSheetId="4">#REF!</definedName>
    <definedName name="SA300633NONRECUR" localSheetId="5">#REF!</definedName>
    <definedName name="SA300633NONRECUR" localSheetId="6">#REF!</definedName>
    <definedName name="SA300633NONREC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6" i="20" l="1"/>
  <c r="D61" i="20"/>
  <c r="D46" i="20"/>
  <c r="D31" i="20"/>
  <c r="E46" i="20" l="1"/>
  <c r="K147" i="56" l="1"/>
  <c r="H147" i="56"/>
  <c r="K146" i="56"/>
  <c r="H146" i="56"/>
  <c r="K145" i="56"/>
  <c r="H145" i="56"/>
  <c r="K144" i="56"/>
  <c r="H144" i="56"/>
  <c r="K143" i="56"/>
  <c r="H143" i="56"/>
  <c r="K141" i="56"/>
  <c r="H141" i="56"/>
  <c r="K140" i="56"/>
  <c r="H140" i="56"/>
  <c r="K139" i="56"/>
  <c r="H139" i="56"/>
  <c r="K138" i="56"/>
  <c r="H138" i="56"/>
  <c r="K137" i="56"/>
  <c r="H137" i="56"/>
  <c r="K135" i="56"/>
  <c r="H135" i="56"/>
  <c r="K134" i="56"/>
  <c r="H134" i="56"/>
  <c r="K133" i="56"/>
  <c r="H133" i="56"/>
  <c r="K132" i="56"/>
  <c r="H132" i="56"/>
  <c r="K131" i="56"/>
  <c r="H131" i="56"/>
  <c r="K129" i="56"/>
  <c r="H129" i="56"/>
  <c r="K128" i="56"/>
  <c r="H128" i="56"/>
  <c r="K127" i="56"/>
  <c r="H127" i="56"/>
  <c r="K126" i="56"/>
  <c r="H126" i="56"/>
  <c r="K125" i="56"/>
  <c r="H125" i="56"/>
  <c r="K123" i="56"/>
  <c r="H123" i="56"/>
  <c r="K122" i="56"/>
  <c r="H122" i="56"/>
  <c r="K121" i="56"/>
  <c r="H121" i="56"/>
  <c r="K120" i="56"/>
  <c r="H120" i="56"/>
  <c r="K119" i="56"/>
  <c r="H119" i="56"/>
  <c r="K117" i="56"/>
  <c r="H117" i="56"/>
  <c r="K116" i="56"/>
  <c r="H116" i="56"/>
  <c r="K115" i="56"/>
  <c r="H115" i="56"/>
  <c r="K114" i="56"/>
  <c r="H114" i="56"/>
  <c r="K113" i="56"/>
  <c r="H113" i="56"/>
  <c r="K111" i="56"/>
  <c r="H111" i="56"/>
  <c r="K110" i="56"/>
  <c r="H110" i="56"/>
  <c r="K109" i="56"/>
  <c r="H109" i="56"/>
  <c r="K108" i="56"/>
  <c r="H108" i="56"/>
  <c r="K107" i="56"/>
  <c r="H107" i="56"/>
  <c r="K105" i="56"/>
  <c r="H105" i="56"/>
  <c r="K104" i="56"/>
  <c r="H104" i="56"/>
  <c r="K103" i="56"/>
  <c r="H103" i="56"/>
  <c r="K102" i="56"/>
  <c r="H102" i="56"/>
  <c r="K101" i="56"/>
  <c r="H101" i="56"/>
  <c r="K99" i="56"/>
  <c r="H99" i="56"/>
  <c r="K98" i="56"/>
  <c r="H98" i="56"/>
  <c r="K97" i="56"/>
  <c r="H97" i="56"/>
  <c r="K96" i="56"/>
  <c r="H96" i="56"/>
  <c r="K95" i="56"/>
  <c r="H95" i="56"/>
  <c r="K93" i="56"/>
  <c r="H93" i="56"/>
  <c r="K92" i="56"/>
  <c r="H92" i="56"/>
  <c r="K91" i="56"/>
  <c r="H91" i="56"/>
  <c r="K90" i="56"/>
  <c r="H90" i="56"/>
  <c r="K89" i="56"/>
  <c r="H89" i="56"/>
  <c r="M77" i="56"/>
  <c r="H77" i="56"/>
  <c r="M76" i="56"/>
  <c r="H76" i="56"/>
  <c r="M75" i="56"/>
  <c r="H75" i="56"/>
  <c r="M74" i="56"/>
  <c r="H74" i="56"/>
  <c r="M73" i="56"/>
  <c r="H73" i="56"/>
  <c r="M71" i="56"/>
  <c r="H71" i="56"/>
  <c r="M70" i="56"/>
  <c r="H70" i="56"/>
  <c r="M69" i="56"/>
  <c r="H69" i="56"/>
  <c r="M68" i="56"/>
  <c r="H68" i="56"/>
  <c r="M67" i="56"/>
  <c r="H67" i="56"/>
  <c r="M65" i="56"/>
  <c r="H65" i="56"/>
  <c r="M64" i="56"/>
  <c r="H64" i="56"/>
  <c r="M63" i="56"/>
  <c r="H63" i="56"/>
  <c r="M62" i="56"/>
  <c r="H62" i="56"/>
  <c r="M61" i="56"/>
  <c r="H61" i="56"/>
  <c r="M59" i="56"/>
  <c r="H59" i="56"/>
  <c r="M58" i="56"/>
  <c r="H58" i="56"/>
  <c r="M57" i="56"/>
  <c r="H57" i="56"/>
  <c r="M56" i="56"/>
  <c r="H56" i="56"/>
  <c r="M55" i="56"/>
  <c r="H55" i="56"/>
  <c r="M53" i="56"/>
  <c r="H53" i="56"/>
  <c r="M52" i="56"/>
  <c r="H52" i="56"/>
  <c r="M51" i="56"/>
  <c r="H51" i="56"/>
  <c r="M50" i="56"/>
  <c r="H50" i="56"/>
  <c r="M49" i="56"/>
  <c r="H49" i="56"/>
  <c r="M47" i="56"/>
  <c r="H47" i="56"/>
  <c r="M46" i="56"/>
  <c r="H46" i="56"/>
  <c r="M45" i="56"/>
  <c r="H45" i="56"/>
  <c r="M44" i="56"/>
  <c r="H44" i="56"/>
  <c r="M43" i="56"/>
  <c r="H43" i="56"/>
  <c r="M41" i="56"/>
  <c r="H41" i="56"/>
  <c r="M40" i="56"/>
  <c r="H40" i="56"/>
  <c r="M39" i="56"/>
  <c r="H39" i="56"/>
  <c r="M38" i="56"/>
  <c r="H38" i="56"/>
  <c r="M37" i="56"/>
  <c r="H37" i="56"/>
  <c r="M35" i="56"/>
  <c r="H35" i="56"/>
  <c r="M34" i="56"/>
  <c r="H34" i="56"/>
  <c r="M33" i="56"/>
  <c r="H33" i="56"/>
  <c r="M32" i="56"/>
  <c r="H32" i="56"/>
  <c r="M31" i="56"/>
  <c r="H31" i="56"/>
  <c r="M29" i="56"/>
  <c r="H29" i="56"/>
  <c r="M28" i="56"/>
  <c r="H28" i="56"/>
  <c r="M27" i="56"/>
  <c r="H27" i="56"/>
  <c r="M26" i="56"/>
  <c r="H26" i="56"/>
  <c r="M25" i="56"/>
  <c r="H25" i="56"/>
  <c r="M23" i="56"/>
  <c r="H23" i="56"/>
  <c r="M22" i="56"/>
  <c r="H22" i="56"/>
  <c r="M21" i="56"/>
  <c r="H21" i="56"/>
  <c r="M20" i="56"/>
  <c r="H20" i="56"/>
  <c r="M19" i="56"/>
  <c r="H19" i="56"/>
  <c r="K147" i="54"/>
  <c r="H147" i="54"/>
  <c r="K146" i="54"/>
  <c r="H146" i="54"/>
  <c r="K145" i="54"/>
  <c r="H145" i="54"/>
  <c r="K144" i="54"/>
  <c r="H144" i="54"/>
  <c r="K143" i="54"/>
  <c r="H143" i="54"/>
  <c r="K141" i="54"/>
  <c r="H141" i="54"/>
  <c r="K140" i="54"/>
  <c r="H140" i="54"/>
  <c r="K139" i="54"/>
  <c r="H139" i="54"/>
  <c r="K138" i="54"/>
  <c r="H138" i="54"/>
  <c r="K137" i="54"/>
  <c r="H137" i="54"/>
  <c r="K135" i="54"/>
  <c r="H135" i="54"/>
  <c r="K134" i="54"/>
  <c r="H134" i="54"/>
  <c r="K133" i="54"/>
  <c r="H133" i="54"/>
  <c r="K132" i="54"/>
  <c r="H132" i="54"/>
  <c r="K131" i="54"/>
  <c r="H131" i="54"/>
  <c r="K129" i="54"/>
  <c r="H129" i="54"/>
  <c r="K128" i="54"/>
  <c r="H128" i="54"/>
  <c r="K127" i="54"/>
  <c r="H127" i="54"/>
  <c r="K126" i="54"/>
  <c r="H126" i="54"/>
  <c r="K125" i="54"/>
  <c r="H125" i="54"/>
  <c r="K123" i="54"/>
  <c r="H123" i="54"/>
  <c r="K122" i="54"/>
  <c r="H122" i="54"/>
  <c r="K121" i="54"/>
  <c r="H121" i="54"/>
  <c r="K120" i="54"/>
  <c r="H120" i="54"/>
  <c r="K119" i="54"/>
  <c r="H119" i="54"/>
  <c r="K117" i="54"/>
  <c r="H117" i="54"/>
  <c r="K116" i="54"/>
  <c r="H116" i="54"/>
  <c r="K115" i="54"/>
  <c r="H115" i="54"/>
  <c r="K114" i="54"/>
  <c r="H114" i="54"/>
  <c r="K113" i="54"/>
  <c r="H113" i="54"/>
  <c r="K111" i="54"/>
  <c r="H111" i="54"/>
  <c r="K110" i="54"/>
  <c r="H110" i="54"/>
  <c r="K109" i="54"/>
  <c r="H109" i="54"/>
  <c r="K108" i="54"/>
  <c r="H108" i="54"/>
  <c r="K107" i="54"/>
  <c r="H107" i="54"/>
  <c r="K105" i="54"/>
  <c r="H105" i="54"/>
  <c r="K104" i="54"/>
  <c r="H104" i="54"/>
  <c r="K103" i="54"/>
  <c r="H103" i="54"/>
  <c r="K102" i="54"/>
  <c r="H102" i="54"/>
  <c r="K101" i="54"/>
  <c r="H101" i="54"/>
  <c r="K99" i="54"/>
  <c r="H99" i="54"/>
  <c r="K98" i="54"/>
  <c r="H98" i="54"/>
  <c r="K97" i="54"/>
  <c r="H97" i="54"/>
  <c r="K96" i="54"/>
  <c r="H96" i="54"/>
  <c r="K95" i="54"/>
  <c r="H95" i="54"/>
  <c r="K93" i="54"/>
  <c r="H93" i="54"/>
  <c r="K92" i="54"/>
  <c r="H92" i="54"/>
  <c r="K91" i="54"/>
  <c r="H91" i="54"/>
  <c r="K90" i="54"/>
  <c r="H90" i="54"/>
  <c r="K89" i="54"/>
  <c r="H89" i="54"/>
  <c r="M77" i="54"/>
  <c r="H77" i="54"/>
  <c r="M76" i="54"/>
  <c r="H76" i="54"/>
  <c r="M75" i="54"/>
  <c r="H75" i="54"/>
  <c r="M74" i="54"/>
  <c r="H74" i="54"/>
  <c r="M73" i="54"/>
  <c r="H73" i="54"/>
  <c r="M71" i="54"/>
  <c r="H71" i="54"/>
  <c r="M70" i="54"/>
  <c r="H70" i="54"/>
  <c r="M69" i="54"/>
  <c r="H69" i="54"/>
  <c r="M68" i="54"/>
  <c r="H68" i="54"/>
  <c r="M67" i="54"/>
  <c r="H67" i="54"/>
  <c r="M65" i="54"/>
  <c r="H65" i="54"/>
  <c r="M64" i="54"/>
  <c r="H64" i="54"/>
  <c r="M63" i="54"/>
  <c r="H63" i="54"/>
  <c r="M62" i="54"/>
  <c r="H62" i="54"/>
  <c r="M61" i="54"/>
  <c r="H61" i="54"/>
  <c r="M59" i="54"/>
  <c r="H59" i="54"/>
  <c r="M58" i="54"/>
  <c r="H58" i="54"/>
  <c r="M57" i="54"/>
  <c r="H57" i="54"/>
  <c r="M56" i="54"/>
  <c r="H56" i="54"/>
  <c r="M55" i="54"/>
  <c r="H55" i="54"/>
  <c r="M53" i="54"/>
  <c r="H53" i="54"/>
  <c r="M52" i="54"/>
  <c r="H52" i="54"/>
  <c r="M51" i="54"/>
  <c r="H51" i="54"/>
  <c r="M50" i="54"/>
  <c r="H50" i="54"/>
  <c r="M49" i="54"/>
  <c r="H49" i="54"/>
  <c r="M47" i="54"/>
  <c r="H47" i="54"/>
  <c r="M46" i="54"/>
  <c r="H46" i="54"/>
  <c r="M45" i="54"/>
  <c r="H45" i="54"/>
  <c r="M44" i="54"/>
  <c r="H44" i="54"/>
  <c r="M43" i="54"/>
  <c r="H43" i="54"/>
  <c r="M41" i="54"/>
  <c r="H41" i="54"/>
  <c r="M40" i="54"/>
  <c r="H40" i="54"/>
  <c r="M39" i="54"/>
  <c r="H39" i="54"/>
  <c r="M38" i="54"/>
  <c r="H38" i="54"/>
  <c r="M37" i="54"/>
  <c r="H37" i="54"/>
  <c r="M35" i="54"/>
  <c r="H35" i="54"/>
  <c r="M34" i="54"/>
  <c r="H34" i="54"/>
  <c r="M33" i="54"/>
  <c r="H33" i="54"/>
  <c r="M32" i="54"/>
  <c r="H32" i="54"/>
  <c r="M31" i="54"/>
  <c r="H31" i="54"/>
  <c r="M29" i="54"/>
  <c r="H29" i="54"/>
  <c r="M28" i="54"/>
  <c r="H28" i="54"/>
  <c r="M27" i="54"/>
  <c r="H27" i="54"/>
  <c r="M26" i="54"/>
  <c r="H26" i="54"/>
  <c r="M25" i="54"/>
  <c r="H25" i="54"/>
  <c r="M23" i="54"/>
  <c r="H23" i="54"/>
  <c r="M22" i="54"/>
  <c r="H22" i="54"/>
  <c r="M21" i="54"/>
  <c r="H21" i="54"/>
  <c r="M20" i="54"/>
  <c r="H20" i="54"/>
  <c r="M19" i="54"/>
  <c r="H19" i="54"/>
  <c r="K147" i="53"/>
  <c r="H147" i="53"/>
  <c r="K146" i="53"/>
  <c r="H146" i="53"/>
  <c r="K145" i="53"/>
  <c r="H145" i="53"/>
  <c r="K144" i="53"/>
  <c r="H144" i="53"/>
  <c r="K143" i="53"/>
  <c r="H143" i="53"/>
  <c r="K141" i="53"/>
  <c r="H141" i="53"/>
  <c r="K140" i="53"/>
  <c r="H140" i="53"/>
  <c r="K139" i="53"/>
  <c r="H139" i="53"/>
  <c r="K138" i="53"/>
  <c r="H138" i="53"/>
  <c r="K137" i="53"/>
  <c r="H137" i="53"/>
  <c r="K135" i="53"/>
  <c r="H135" i="53"/>
  <c r="K134" i="53"/>
  <c r="H134" i="53"/>
  <c r="K133" i="53"/>
  <c r="H133" i="53"/>
  <c r="K132" i="53"/>
  <c r="H132" i="53"/>
  <c r="K131" i="53"/>
  <c r="H131" i="53"/>
  <c r="K129" i="53"/>
  <c r="H129" i="53"/>
  <c r="K128" i="53"/>
  <c r="H128" i="53"/>
  <c r="K127" i="53"/>
  <c r="H127" i="53"/>
  <c r="K126" i="53"/>
  <c r="H126" i="53"/>
  <c r="K125" i="53"/>
  <c r="H125" i="53"/>
  <c r="K123" i="53"/>
  <c r="H123" i="53"/>
  <c r="K122" i="53"/>
  <c r="H122" i="53"/>
  <c r="K121" i="53"/>
  <c r="H121" i="53"/>
  <c r="K120" i="53"/>
  <c r="H120" i="53"/>
  <c r="K119" i="53"/>
  <c r="H119" i="53"/>
  <c r="K117" i="53"/>
  <c r="H117" i="53"/>
  <c r="K116" i="53"/>
  <c r="H116" i="53"/>
  <c r="K115" i="53"/>
  <c r="H115" i="53"/>
  <c r="K114" i="53"/>
  <c r="H114" i="53"/>
  <c r="K113" i="53"/>
  <c r="H113" i="53"/>
  <c r="K111" i="53"/>
  <c r="H111" i="53"/>
  <c r="K110" i="53"/>
  <c r="H110" i="53"/>
  <c r="K109" i="53"/>
  <c r="H109" i="53"/>
  <c r="K108" i="53"/>
  <c r="H108" i="53"/>
  <c r="K107" i="53"/>
  <c r="H107" i="53"/>
  <c r="K105" i="53"/>
  <c r="H105" i="53"/>
  <c r="K104" i="53"/>
  <c r="H104" i="53"/>
  <c r="K103" i="53"/>
  <c r="H103" i="53"/>
  <c r="K102" i="53"/>
  <c r="H102" i="53"/>
  <c r="K101" i="53"/>
  <c r="H101" i="53"/>
  <c r="K99" i="53"/>
  <c r="H99" i="53"/>
  <c r="K98" i="53"/>
  <c r="H98" i="53"/>
  <c r="K97" i="53"/>
  <c r="H97" i="53"/>
  <c r="K96" i="53"/>
  <c r="H96" i="53"/>
  <c r="K95" i="53"/>
  <c r="H95" i="53"/>
  <c r="K93" i="53"/>
  <c r="H93" i="53"/>
  <c r="K92" i="53"/>
  <c r="H92" i="53"/>
  <c r="K91" i="53"/>
  <c r="H91" i="53"/>
  <c r="K90" i="53"/>
  <c r="H90" i="53"/>
  <c r="K89" i="53"/>
  <c r="H89" i="53"/>
  <c r="M77" i="53"/>
  <c r="H77" i="53"/>
  <c r="M76" i="53"/>
  <c r="H76" i="53"/>
  <c r="M75" i="53"/>
  <c r="H75" i="53"/>
  <c r="M74" i="53"/>
  <c r="H74" i="53"/>
  <c r="M73" i="53"/>
  <c r="H73" i="53"/>
  <c r="M71" i="53"/>
  <c r="H71" i="53"/>
  <c r="M70" i="53"/>
  <c r="H70" i="53"/>
  <c r="M69" i="53"/>
  <c r="H69" i="53"/>
  <c r="M68" i="53"/>
  <c r="H68" i="53"/>
  <c r="M67" i="53"/>
  <c r="H67" i="53"/>
  <c r="M65" i="53"/>
  <c r="H65" i="53"/>
  <c r="M64" i="53"/>
  <c r="H64" i="53"/>
  <c r="M63" i="53"/>
  <c r="H63" i="53"/>
  <c r="M62" i="53"/>
  <c r="H62" i="53"/>
  <c r="M61" i="53"/>
  <c r="H61" i="53"/>
  <c r="M59" i="53"/>
  <c r="H59" i="53"/>
  <c r="M58" i="53"/>
  <c r="H58" i="53"/>
  <c r="M57" i="53"/>
  <c r="H57" i="53"/>
  <c r="M56" i="53"/>
  <c r="H56" i="53"/>
  <c r="M55" i="53"/>
  <c r="H55" i="53"/>
  <c r="M53" i="53"/>
  <c r="H53" i="53"/>
  <c r="M52" i="53"/>
  <c r="H52" i="53"/>
  <c r="M51" i="53"/>
  <c r="H51" i="53"/>
  <c r="M50" i="53"/>
  <c r="H50" i="53"/>
  <c r="M49" i="53"/>
  <c r="H49" i="53"/>
  <c r="M47" i="53"/>
  <c r="H47" i="53"/>
  <c r="M46" i="53"/>
  <c r="H46" i="53"/>
  <c r="M45" i="53"/>
  <c r="H45" i="53"/>
  <c r="M44" i="53"/>
  <c r="H44" i="53"/>
  <c r="M43" i="53"/>
  <c r="H43" i="53"/>
  <c r="M41" i="53"/>
  <c r="H41" i="53"/>
  <c r="M40" i="53"/>
  <c r="H40" i="53"/>
  <c r="M39" i="53"/>
  <c r="H39" i="53"/>
  <c r="M38" i="53"/>
  <c r="H38" i="53"/>
  <c r="M37" i="53"/>
  <c r="H37" i="53"/>
  <c r="M35" i="53"/>
  <c r="H35" i="53"/>
  <c r="M34" i="53"/>
  <c r="H34" i="53"/>
  <c r="M33" i="53"/>
  <c r="H33" i="53"/>
  <c r="M32" i="53"/>
  <c r="H32" i="53"/>
  <c r="M31" i="53"/>
  <c r="H31" i="53"/>
  <c r="M29" i="53"/>
  <c r="H29" i="53"/>
  <c r="M28" i="53"/>
  <c r="H28" i="53"/>
  <c r="M27" i="53"/>
  <c r="H27" i="53"/>
  <c r="M26" i="53"/>
  <c r="H26" i="53"/>
  <c r="M25" i="53"/>
  <c r="H25" i="53"/>
  <c r="M23" i="53"/>
  <c r="H23" i="53"/>
  <c r="M22" i="53"/>
  <c r="H22" i="53"/>
  <c r="M21" i="53"/>
  <c r="H21" i="53"/>
  <c r="M20" i="53"/>
  <c r="H20" i="53"/>
  <c r="M19" i="53"/>
  <c r="H19" i="53"/>
  <c r="K147" i="19"/>
  <c r="H147" i="19"/>
  <c r="K146" i="19"/>
  <c r="H146" i="19"/>
  <c r="K145" i="19"/>
  <c r="H145" i="19"/>
  <c r="K144" i="19"/>
  <c r="H144" i="19"/>
  <c r="K141" i="19"/>
  <c r="H141" i="19"/>
  <c r="K140" i="19"/>
  <c r="H140" i="19"/>
  <c r="K139" i="19"/>
  <c r="H139" i="19"/>
  <c r="K138" i="19"/>
  <c r="H138" i="19"/>
  <c r="K135" i="19"/>
  <c r="H135" i="19"/>
  <c r="K134" i="19"/>
  <c r="H134" i="19"/>
  <c r="K133" i="19"/>
  <c r="H133" i="19"/>
  <c r="K132" i="19"/>
  <c r="H132" i="19"/>
  <c r="K129" i="19"/>
  <c r="H129" i="19"/>
  <c r="K128" i="19"/>
  <c r="H128" i="19"/>
  <c r="K127" i="19"/>
  <c r="H127" i="19"/>
  <c r="K126" i="19"/>
  <c r="H126" i="19"/>
  <c r="K123" i="19"/>
  <c r="H123" i="19"/>
  <c r="K122" i="19"/>
  <c r="H122" i="19"/>
  <c r="K121" i="19"/>
  <c r="H121" i="19"/>
  <c r="K120" i="19"/>
  <c r="H120" i="19"/>
  <c r="K117" i="19"/>
  <c r="H117" i="19"/>
  <c r="K116" i="19"/>
  <c r="H116" i="19"/>
  <c r="K115" i="19"/>
  <c r="H115" i="19"/>
  <c r="K114" i="19"/>
  <c r="H114" i="19"/>
  <c r="K111" i="19"/>
  <c r="H111" i="19"/>
  <c r="K110" i="19"/>
  <c r="H110" i="19"/>
  <c r="K109" i="19"/>
  <c r="H109" i="19"/>
  <c r="K108" i="19"/>
  <c r="H108" i="19"/>
  <c r="K105" i="19"/>
  <c r="H105" i="19"/>
  <c r="K104" i="19"/>
  <c r="H104" i="19"/>
  <c r="K103" i="19"/>
  <c r="H103" i="19"/>
  <c r="K102" i="19"/>
  <c r="H102" i="19"/>
  <c r="K99" i="19"/>
  <c r="H99" i="19"/>
  <c r="K98" i="19"/>
  <c r="H98" i="19"/>
  <c r="K97" i="19"/>
  <c r="H97" i="19"/>
  <c r="K96" i="19"/>
  <c r="H96" i="19"/>
  <c r="K93" i="19"/>
  <c r="H93" i="19"/>
  <c r="K92" i="19"/>
  <c r="H92" i="19"/>
  <c r="K91" i="19"/>
  <c r="H91" i="19"/>
  <c r="M77" i="19"/>
  <c r="H77" i="19"/>
  <c r="M76" i="19"/>
  <c r="H76" i="19"/>
  <c r="M75" i="19"/>
  <c r="H75" i="19"/>
  <c r="M74" i="19"/>
  <c r="H74" i="19"/>
  <c r="M71" i="19"/>
  <c r="H71" i="19"/>
  <c r="M70" i="19"/>
  <c r="H70" i="19"/>
  <c r="M69" i="19"/>
  <c r="H69" i="19"/>
  <c r="M68" i="19"/>
  <c r="H68" i="19"/>
  <c r="M65" i="19"/>
  <c r="H65" i="19"/>
  <c r="M64" i="19"/>
  <c r="H64" i="19"/>
  <c r="M63" i="19"/>
  <c r="H63" i="19"/>
  <c r="M62" i="19"/>
  <c r="H62" i="19"/>
  <c r="M59" i="19"/>
  <c r="H59" i="19"/>
  <c r="M58" i="19"/>
  <c r="H58" i="19"/>
  <c r="M57" i="19"/>
  <c r="H57" i="19"/>
  <c r="M56" i="19"/>
  <c r="H56" i="19"/>
  <c r="M53" i="19"/>
  <c r="H53" i="19"/>
  <c r="M52" i="19"/>
  <c r="H52" i="19"/>
  <c r="M51" i="19"/>
  <c r="H51" i="19"/>
  <c r="M50" i="19"/>
  <c r="H50" i="19"/>
  <c r="M47" i="19"/>
  <c r="H47" i="19"/>
  <c r="M46" i="19"/>
  <c r="H46" i="19"/>
  <c r="M45" i="19"/>
  <c r="H45" i="19"/>
  <c r="M44" i="19"/>
  <c r="H44" i="19"/>
  <c r="M41" i="19"/>
  <c r="H41" i="19"/>
  <c r="M40" i="19"/>
  <c r="H40" i="19"/>
  <c r="M39" i="19"/>
  <c r="H39" i="19"/>
  <c r="M38" i="19"/>
  <c r="H38" i="19"/>
  <c r="M35" i="19"/>
  <c r="H35" i="19"/>
  <c r="M34" i="19"/>
  <c r="H34" i="19"/>
  <c r="M33" i="19"/>
  <c r="H33" i="19"/>
  <c r="M32" i="19"/>
  <c r="H32" i="19"/>
  <c r="M29" i="19"/>
  <c r="H29" i="19"/>
  <c r="M28" i="19"/>
  <c r="H28" i="19"/>
  <c r="M27" i="19"/>
  <c r="H27" i="19"/>
  <c r="M26" i="19"/>
  <c r="H26" i="19"/>
  <c r="C10" i="20" l="1"/>
  <c r="G19" i="5"/>
  <c r="G18" i="5"/>
  <c r="G17" i="5"/>
  <c r="G16" i="5"/>
  <c r="F81" i="20" l="1"/>
  <c r="F79" i="20"/>
  <c r="F66" i="20"/>
  <c r="F64" i="20"/>
  <c r="F62" i="20"/>
  <c r="F61" i="20"/>
  <c r="F51" i="20"/>
  <c r="F46" i="20"/>
  <c r="D81" i="20"/>
  <c r="D79" i="20"/>
  <c r="D66" i="20"/>
  <c r="D51" i="20"/>
  <c r="D49" i="20"/>
  <c r="K143" i="19"/>
  <c r="K137" i="19"/>
  <c r="F36" i="20" s="1"/>
  <c r="K131" i="19"/>
  <c r="K125" i="19"/>
  <c r="K119" i="19"/>
  <c r="K113" i="19"/>
  <c r="K107" i="19"/>
  <c r="K101" i="19"/>
  <c r="K95" i="19"/>
  <c r="K90" i="19"/>
  <c r="K89" i="19"/>
  <c r="H143" i="19"/>
  <c r="H137" i="19"/>
  <c r="H131" i="19"/>
  <c r="H119" i="19"/>
  <c r="H113" i="19"/>
  <c r="H107" i="19"/>
  <c r="H101" i="19"/>
  <c r="H95" i="19"/>
  <c r="H90" i="19"/>
  <c r="H89" i="19"/>
  <c r="M73" i="19"/>
  <c r="M67" i="19"/>
  <c r="D36" i="20" s="1"/>
  <c r="M61" i="19"/>
  <c r="M55" i="19"/>
  <c r="M49" i="19"/>
  <c r="M43" i="19"/>
  <c r="M37" i="19"/>
  <c r="M31" i="19"/>
  <c r="M25" i="19"/>
  <c r="M23" i="19"/>
  <c r="M22" i="19"/>
  <c r="M21" i="19"/>
  <c r="M20" i="19"/>
  <c r="M19" i="19"/>
  <c r="H73" i="19"/>
  <c r="H67" i="19"/>
  <c r="H61" i="19"/>
  <c r="H55" i="19"/>
  <c r="H49" i="19"/>
  <c r="H43" i="19"/>
  <c r="H37" i="19"/>
  <c r="H31" i="19"/>
  <c r="H25" i="19"/>
  <c r="H23" i="19"/>
  <c r="H22" i="19"/>
  <c r="H21" i="19"/>
  <c r="H20" i="19"/>
  <c r="H19" i="19"/>
  <c r="B9" i="19"/>
  <c r="B8" i="19"/>
  <c r="D77" i="20" l="1"/>
  <c r="E147" i="19"/>
  <c r="E146" i="19"/>
  <c r="E145" i="19"/>
  <c r="E144" i="19"/>
  <c r="E141" i="19"/>
  <c r="E140" i="19"/>
  <c r="E139" i="19"/>
  <c r="E138" i="19"/>
  <c r="E135" i="19"/>
  <c r="E127" i="19"/>
  <c r="E134" i="19"/>
  <c r="E126" i="19"/>
  <c r="E133" i="19"/>
  <c r="E132" i="19"/>
  <c r="E129" i="19"/>
  <c r="E128" i="19"/>
  <c r="E120" i="19"/>
  <c r="E123" i="19"/>
  <c r="E122" i="19"/>
  <c r="E121" i="19"/>
  <c r="E117" i="19"/>
  <c r="E108" i="19"/>
  <c r="E114" i="19"/>
  <c r="E116" i="19"/>
  <c r="E111" i="19"/>
  <c r="E110" i="19"/>
  <c r="E115" i="19"/>
  <c r="E109" i="19"/>
  <c r="E103" i="19"/>
  <c r="E105" i="19"/>
  <c r="E102" i="19"/>
  <c r="E104" i="19"/>
  <c r="E97" i="19"/>
  <c r="E99" i="19"/>
  <c r="E96" i="19"/>
  <c r="E98" i="19"/>
  <c r="E93" i="19"/>
  <c r="E91" i="19"/>
  <c r="E92" i="19"/>
  <c r="E75" i="19"/>
  <c r="E76" i="19"/>
  <c r="E77" i="19"/>
  <c r="E74" i="19"/>
  <c r="E71" i="19"/>
  <c r="E70" i="19"/>
  <c r="E69" i="19"/>
  <c r="E68" i="19"/>
  <c r="E65" i="19"/>
  <c r="E64" i="19"/>
  <c r="E63" i="19"/>
  <c r="E62" i="19"/>
  <c r="E59" i="19"/>
  <c r="E56" i="19"/>
  <c r="E58" i="19"/>
  <c r="E57" i="19"/>
  <c r="E53" i="19"/>
  <c r="E50" i="19"/>
  <c r="E52" i="19"/>
  <c r="E51" i="19"/>
  <c r="E47" i="19"/>
  <c r="E44" i="19"/>
  <c r="E45" i="19"/>
  <c r="E46" i="19"/>
  <c r="F31" i="20"/>
  <c r="E40" i="19"/>
  <c r="E41" i="19"/>
  <c r="E39" i="19"/>
  <c r="E38" i="19"/>
  <c r="E27" i="19"/>
  <c r="E35" i="19"/>
  <c r="E33" i="19"/>
  <c r="E32" i="19"/>
  <c r="E28" i="19"/>
  <c r="E26" i="19"/>
  <c r="E29" i="19"/>
  <c r="E34" i="19"/>
  <c r="D32" i="20"/>
  <c r="F80" i="20"/>
  <c r="F78" i="20"/>
  <c r="F76" i="20"/>
  <c r="F77" i="20"/>
  <c r="D80" i="20"/>
  <c r="D78" i="20"/>
  <c r="D64" i="20"/>
  <c r="D65" i="20"/>
  <c r="D63" i="20"/>
  <c r="D67" i="20"/>
  <c r="F65" i="20"/>
  <c r="F67" i="20" s="1"/>
  <c r="F63" i="20"/>
  <c r="D62" i="20"/>
  <c r="J21" i="20"/>
  <c r="F50" i="20"/>
  <c r="F48" i="20"/>
  <c r="F49" i="20"/>
  <c r="D47" i="20"/>
  <c r="D50" i="20"/>
  <c r="D48" i="20"/>
  <c r="F47" i="20"/>
  <c r="D34" i="20"/>
  <c r="F32" i="20"/>
  <c r="F34" i="20"/>
  <c r="F35" i="20"/>
  <c r="F33" i="20"/>
  <c r="D35" i="20"/>
  <c r="D33" i="20"/>
  <c r="K19" i="5"/>
  <c r="K18" i="5"/>
  <c r="K17" i="5"/>
  <c r="K16" i="5"/>
  <c r="F82" i="20" l="1"/>
  <c r="F52" i="20"/>
  <c r="J138" i="19"/>
  <c r="L138" i="19" s="1"/>
  <c r="G138" i="19"/>
  <c r="J139" i="19"/>
  <c r="L139" i="19" s="1"/>
  <c r="G139" i="19"/>
  <c r="J140" i="19"/>
  <c r="L140" i="19" s="1"/>
  <c r="G140" i="19"/>
  <c r="J141" i="19"/>
  <c r="L141" i="19" s="1"/>
  <c r="G141" i="19"/>
  <c r="G144" i="19"/>
  <c r="J144" i="19"/>
  <c r="L144" i="19" s="1"/>
  <c r="J145" i="19"/>
  <c r="L145" i="19" s="1"/>
  <c r="G145" i="19"/>
  <c r="J146" i="19"/>
  <c r="L146" i="19" s="1"/>
  <c r="G146" i="19"/>
  <c r="J147" i="19"/>
  <c r="L147" i="19" s="1"/>
  <c r="G147" i="19"/>
  <c r="J129" i="19"/>
  <c r="L129" i="19" s="1"/>
  <c r="G129" i="19"/>
  <c r="G128" i="19"/>
  <c r="J128" i="19"/>
  <c r="L128" i="19" s="1"/>
  <c r="J132" i="19"/>
  <c r="L132" i="19" s="1"/>
  <c r="G132" i="19"/>
  <c r="J133" i="19"/>
  <c r="L133" i="19" s="1"/>
  <c r="G133" i="19"/>
  <c r="G126" i="19"/>
  <c r="J126" i="19"/>
  <c r="L126" i="19" s="1"/>
  <c r="J134" i="19"/>
  <c r="L134" i="19" s="1"/>
  <c r="G134" i="19"/>
  <c r="J127" i="19"/>
  <c r="L127" i="19" s="1"/>
  <c r="G127" i="19"/>
  <c r="J135" i="19"/>
  <c r="L135" i="19" s="1"/>
  <c r="G135" i="19"/>
  <c r="G121" i="19"/>
  <c r="J121" i="19"/>
  <c r="L121" i="19" s="1"/>
  <c r="J122" i="19"/>
  <c r="L122" i="19" s="1"/>
  <c r="G122" i="19"/>
  <c r="J123" i="19"/>
  <c r="L123" i="19" s="1"/>
  <c r="G123" i="19"/>
  <c r="G120" i="19"/>
  <c r="J120" i="19"/>
  <c r="L120" i="19" s="1"/>
  <c r="J110" i="19"/>
  <c r="L110" i="19" s="1"/>
  <c r="G110" i="19"/>
  <c r="J111" i="19"/>
  <c r="L111" i="19" s="1"/>
  <c r="G111" i="19"/>
  <c r="G116" i="19"/>
  <c r="J116" i="19"/>
  <c r="L116" i="19" s="1"/>
  <c r="G114" i="19"/>
  <c r="J114" i="19"/>
  <c r="L114" i="19" s="1"/>
  <c r="J115" i="19"/>
  <c r="L115" i="19" s="1"/>
  <c r="G115" i="19"/>
  <c r="J108" i="19"/>
  <c r="L108" i="19" s="1"/>
  <c r="G108" i="19"/>
  <c r="J109" i="19"/>
  <c r="L109" i="19" s="1"/>
  <c r="G109" i="19"/>
  <c r="J117" i="19"/>
  <c r="L117" i="19" s="1"/>
  <c r="G117" i="19"/>
  <c r="G104" i="19"/>
  <c r="J104" i="19"/>
  <c r="L104" i="19" s="1"/>
  <c r="J102" i="19"/>
  <c r="L102" i="19" s="1"/>
  <c r="G102" i="19"/>
  <c r="J105" i="19"/>
  <c r="L105" i="19" s="1"/>
  <c r="G105" i="19"/>
  <c r="J103" i="19"/>
  <c r="L103" i="19" s="1"/>
  <c r="G103" i="19"/>
  <c r="G98" i="19"/>
  <c r="J98" i="19"/>
  <c r="L98" i="19" s="1"/>
  <c r="J96" i="19"/>
  <c r="L96" i="19" s="1"/>
  <c r="G96" i="19"/>
  <c r="J99" i="19"/>
  <c r="L99" i="19" s="1"/>
  <c r="G99" i="19"/>
  <c r="G97" i="19"/>
  <c r="J97" i="19"/>
  <c r="L97" i="19" s="1"/>
  <c r="J92" i="19"/>
  <c r="L92" i="19" s="1"/>
  <c r="G92" i="19"/>
  <c r="J91" i="19"/>
  <c r="L91" i="19" s="1"/>
  <c r="G91" i="19"/>
  <c r="J93" i="19"/>
  <c r="L93" i="19" s="1"/>
  <c r="G93" i="19"/>
  <c r="G74" i="19"/>
  <c r="L74" i="19"/>
  <c r="N74" i="19" s="1"/>
  <c r="L77" i="19"/>
  <c r="N77" i="19" s="1"/>
  <c r="G77" i="19"/>
  <c r="G76" i="19"/>
  <c r="L76" i="19"/>
  <c r="N76" i="19" s="1"/>
  <c r="L75" i="19"/>
  <c r="N75" i="19" s="1"/>
  <c r="G75" i="19"/>
  <c r="G68" i="19"/>
  <c r="L68" i="19"/>
  <c r="N68" i="19" s="1"/>
  <c r="G69" i="19"/>
  <c r="L69" i="19"/>
  <c r="N69" i="19" s="1"/>
  <c r="L70" i="19"/>
  <c r="N70" i="19" s="1"/>
  <c r="G70" i="19"/>
  <c r="D37" i="20"/>
  <c r="L71" i="19"/>
  <c r="N71" i="19" s="1"/>
  <c r="G71" i="19"/>
  <c r="L62" i="19"/>
  <c r="N62" i="19" s="1"/>
  <c r="G62" i="19"/>
  <c r="L63" i="19"/>
  <c r="N63" i="19" s="1"/>
  <c r="G63" i="19"/>
  <c r="G64" i="19"/>
  <c r="L64" i="19"/>
  <c r="N64" i="19" s="1"/>
  <c r="L65" i="19"/>
  <c r="N65" i="19" s="1"/>
  <c r="G65" i="19"/>
  <c r="L57" i="19"/>
  <c r="N57" i="19" s="1"/>
  <c r="G57" i="19"/>
  <c r="L58" i="19"/>
  <c r="N58" i="19" s="1"/>
  <c r="G58" i="19"/>
  <c r="L56" i="19"/>
  <c r="N56" i="19" s="1"/>
  <c r="G56" i="19"/>
  <c r="L59" i="19"/>
  <c r="N59" i="19" s="1"/>
  <c r="G59" i="19"/>
  <c r="L51" i="19"/>
  <c r="N51" i="19" s="1"/>
  <c r="G51" i="19"/>
  <c r="G52" i="19"/>
  <c r="L52" i="19"/>
  <c r="N52" i="19" s="1"/>
  <c r="L50" i="19"/>
  <c r="N50" i="19" s="1"/>
  <c r="G50" i="19"/>
  <c r="L53" i="19"/>
  <c r="N53" i="19" s="1"/>
  <c r="G53" i="19"/>
  <c r="L46" i="19"/>
  <c r="N46" i="19" s="1"/>
  <c r="G46" i="19"/>
  <c r="L45" i="19"/>
  <c r="N45" i="19" s="1"/>
  <c r="G45" i="19"/>
  <c r="G44" i="19"/>
  <c r="L44" i="19"/>
  <c r="N44" i="19" s="1"/>
  <c r="G47" i="19"/>
  <c r="L47" i="19"/>
  <c r="N47" i="19" s="1"/>
  <c r="G38" i="19"/>
  <c r="L38" i="19"/>
  <c r="N38" i="19" s="1"/>
  <c r="L39" i="19"/>
  <c r="N39" i="19" s="1"/>
  <c r="G39" i="19"/>
  <c r="L41" i="19"/>
  <c r="N41" i="19" s="1"/>
  <c r="G41" i="19"/>
  <c r="L40" i="19"/>
  <c r="N40" i="19" s="1"/>
  <c r="G40" i="19"/>
  <c r="L34" i="19"/>
  <c r="N34" i="19" s="1"/>
  <c r="G34" i="19"/>
  <c r="L29" i="19"/>
  <c r="N29" i="19" s="1"/>
  <c r="G29" i="19"/>
  <c r="L26" i="19"/>
  <c r="N26" i="19" s="1"/>
  <c r="G26" i="19"/>
  <c r="L28" i="19"/>
  <c r="N28" i="19" s="1"/>
  <c r="G28" i="19"/>
  <c r="G32" i="19"/>
  <c r="L32" i="19"/>
  <c r="N32" i="19" s="1"/>
  <c r="L33" i="19"/>
  <c r="N33" i="19" s="1"/>
  <c r="G33" i="19"/>
  <c r="L35" i="19"/>
  <c r="N35" i="19" s="1"/>
  <c r="G35" i="19"/>
  <c r="G27" i="19"/>
  <c r="L27" i="19"/>
  <c r="N27" i="19" s="1"/>
  <c r="J16" i="20"/>
  <c r="D82" i="20"/>
  <c r="J18" i="20"/>
  <c r="J19" i="20"/>
  <c r="J20" i="20"/>
  <c r="J17" i="20"/>
  <c r="D52" i="20"/>
  <c r="F37" i="20"/>
  <c r="M20" i="5"/>
  <c r="B9" i="56" l="1"/>
  <c r="B8" i="56"/>
  <c r="B9" i="54"/>
  <c r="B8" i="54"/>
  <c r="E147" i="56" l="1"/>
  <c r="E146" i="56"/>
  <c r="E145" i="56"/>
  <c r="E144" i="56"/>
  <c r="E143" i="56"/>
  <c r="E139" i="56"/>
  <c r="E141" i="56"/>
  <c r="E140" i="56"/>
  <c r="E138" i="56"/>
  <c r="E137" i="56"/>
  <c r="E126" i="56"/>
  <c r="E135" i="56"/>
  <c r="E134" i="56"/>
  <c r="E133" i="56"/>
  <c r="E132" i="56"/>
  <c r="E131" i="56"/>
  <c r="E129" i="56"/>
  <c r="E128" i="56"/>
  <c r="E127" i="56"/>
  <c r="E125" i="56"/>
  <c r="E123" i="56"/>
  <c r="E122" i="56"/>
  <c r="E121" i="56"/>
  <c r="E120" i="56"/>
  <c r="E119" i="56"/>
  <c r="E117" i="56"/>
  <c r="E116" i="56"/>
  <c r="E115" i="56"/>
  <c r="E114" i="56"/>
  <c r="E113" i="56"/>
  <c r="E111" i="56"/>
  <c r="E110" i="56"/>
  <c r="E109" i="56"/>
  <c r="E108" i="56"/>
  <c r="E107" i="56"/>
  <c r="E105" i="56"/>
  <c r="E104" i="56"/>
  <c r="E103" i="56"/>
  <c r="E102" i="56"/>
  <c r="E101" i="56"/>
  <c r="E96" i="56"/>
  <c r="E99" i="56"/>
  <c r="E98" i="56"/>
  <c r="E95" i="56"/>
  <c r="E97" i="56"/>
  <c r="E93" i="56"/>
  <c r="E92" i="56"/>
  <c r="E91" i="56"/>
  <c r="E90" i="56"/>
  <c r="E89" i="56"/>
  <c r="E77" i="56"/>
  <c r="E76" i="56"/>
  <c r="E75" i="56"/>
  <c r="E74" i="56"/>
  <c r="E73" i="56"/>
  <c r="E71" i="56"/>
  <c r="E70" i="56"/>
  <c r="E69" i="56"/>
  <c r="E68" i="56"/>
  <c r="E67" i="56"/>
  <c r="E65" i="56"/>
  <c r="E64" i="56"/>
  <c r="E63" i="56"/>
  <c r="E62" i="56"/>
  <c r="E61" i="56"/>
  <c r="E59" i="56"/>
  <c r="E58" i="56"/>
  <c r="E57" i="56"/>
  <c r="E56" i="56"/>
  <c r="E55" i="56"/>
  <c r="E53" i="56"/>
  <c r="E52" i="56"/>
  <c r="E51" i="56"/>
  <c r="E50" i="56"/>
  <c r="E49" i="56"/>
  <c r="E47" i="56"/>
  <c r="E46" i="56"/>
  <c r="E45" i="56"/>
  <c r="E44" i="56"/>
  <c r="E43" i="56"/>
  <c r="E41" i="56"/>
  <c r="E40" i="56"/>
  <c r="E39" i="56"/>
  <c r="E38" i="56"/>
  <c r="E37" i="56"/>
  <c r="E35" i="56"/>
  <c r="E25" i="56"/>
  <c r="E34" i="56"/>
  <c r="E33" i="56"/>
  <c r="E32" i="56"/>
  <c r="E31" i="56"/>
  <c r="E29" i="56"/>
  <c r="E28" i="56"/>
  <c r="E27" i="56"/>
  <c r="E26" i="56"/>
  <c r="E23" i="56"/>
  <c r="E22" i="56"/>
  <c r="E21" i="56"/>
  <c r="E20" i="56"/>
  <c r="E19" i="56"/>
  <c r="E147" i="54"/>
  <c r="E146" i="54"/>
  <c r="E145" i="54"/>
  <c r="E137" i="54"/>
  <c r="E144" i="54"/>
  <c r="E138" i="54"/>
  <c r="E143" i="54"/>
  <c r="E141" i="54"/>
  <c r="E140" i="54"/>
  <c r="E139" i="54"/>
  <c r="E135" i="54"/>
  <c r="E134" i="54"/>
  <c r="E133" i="54"/>
  <c r="E125" i="54"/>
  <c r="E132" i="54"/>
  <c r="E131" i="54"/>
  <c r="E129" i="54"/>
  <c r="E128" i="54"/>
  <c r="E127" i="54"/>
  <c r="E126" i="54"/>
  <c r="E123" i="54"/>
  <c r="E122" i="54"/>
  <c r="E121" i="54"/>
  <c r="E120" i="54"/>
  <c r="E119" i="54"/>
  <c r="E108" i="54"/>
  <c r="E117" i="54"/>
  <c r="E110" i="54"/>
  <c r="E107" i="54"/>
  <c r="E116" i="54"/>
  <c r="E115" i="54"/>
  <c r="E114" i="54"/>
  <c r="E113" i="54"/>
  <c r="E109" i="54"/>
  <c r="E111" i="54"/>
  <c r="E105" i="54"/>
  <c r="E104" i="54"/>
  <c r="E103" i="54"/>
  <c r="E102" i="54"/>
  <c r="E101" i="54"/>
  <c r="E99" i="54"/>
  <c r="E98" i="54"/>
  <c r="E97" i="54"/>
  <c r="E96" i="54"/>
  <c r="E95" i="54"/>
  <c r="E93" i="54"/>
  <c r="E92" i="54"/>
  <c r="E91" i="54"/>
  <c r="E90" i="54"/>
  <c r="E89" i="54"/>
  <c r="E77" i="54"/>
  <c r="E76" i="54"/>
  <c r="E75" i="54"/>
  <c r="E74" i="54"/>
  <c r="E73" i="54"/>
  <c r="E71" i="54"/>
  <c r="E70" i="54"/>
  <c r="E69" i="54"/>
  <c r="E68" i="54"/>
  <c r="E67" i="54"/>
  <c r="E65" i="54"/>
  <c r="E64" i="54"/>
  <c r="E62" i="54"/>
  <c r="E63" i="54"/>
  <c r="E61" i="54"/>
  <c r="E59" i="54"/>
  <c r="E58" i="54"/>
  <c r="E57" i="54"/>
  <c r="E56" i="54"/>
  <c r="E55" i="54"/>
  <c r="E53" i="54"/>
  <c r="E52" i="54"/>
  <c r="E51" i="54"/>
  <c r="E50" i="54"/>
  <c r="E49" i="54"/>
  <c r="E47" i="54"/>
  <c r="E46" i="54"/>
  <c r="E45" i="54"/>
  <c r="E44" i="54"/>
  <c r="E43" i="54"/>
  <c r="E41" i="54"/>
  <c r="E40" i="54"/>
  <c r="E39" i="54"/>
  <c r="E38" i="54"/>
  <c r="E37" i="54"/>
  <c r="E35" i="54"/>
  <c r="E34" i="54"/>
  <c r="E33" i="54"/>
  <c r="E26" i="54"/>
  <c r="E32" i="54"/>
  <c r="E25" i="54"/>
  <c r="E31" i="54"/>
  <c r="E29" i="54"/>
  <c r="E28" i="54"/>
  <c r="E27" i="54"/>
  <c r="E23" i="54"/>
  <c r="E22" i="54"/>
  <c r="E21" i="54"/>
  <c r="E20" i="54"/>
  <c r="E19" i="54"/>
  <c r="B9" i="53"/>
  <c r="B8" i="53"/>
  <c r="G137" i="56" l="1"/>
  <c r="J137" i="56"/>
  <c r="L137" i="56" s="1"/>
  <c r="J138" i="56"/>
  <c r="L138" i="56" s="1"/>
  <c r="G138" i="56"/>
  <c r="J140" i="56"/>
  <c r="L140" i="56" s="1"/>
  <c r="G140" i="56"/>
  <c r="J141" i="56"/>
  <c r="L141" i="56" s="1"/>
  <c r="G141" i="56"/>
  <c r="J139" i="56"/>
  <c r="L139" i="56" s="1"/>
  <c r="G139" i="56"/>
  <c r="J143" i="56"/>
  <c r="L143" i="56" s="1"/>
  <c r="G143" i="56"/>
  <c r="J144" i="56"/>
  <c r="L144" i="56" s="1"/>
  <c r="G144" i="56"/>
  <c r="G145" i="56"/>
  <c r="J145" i="56"/>
  <c r="L145" i="56" s="1"/>
  <c r="J146" i="56"/>
  <c r="L146" i="56" s="1"/>
  <c r="G146" i="56"/>
  <c r="J147" i="56"/>
  <c r="L147" i="56" s="1"/>
  <c r="G147" i="56"/>
  <c r="J125" i="56"/>
  <c r="L125" i="56" s="1"/>
  <c r="G125" i="56"/>
  <c r="J127" i="56"/>
  <c r="L127" i="56" s="1"/>
  <c r="G127" i="56"/>
  <c r="J128" i="56"/>
  <c r="L128" i="56" s="1"/>
  <c r="G128" i="56"/>
  <c r="J129" i="56"/>
  <c r="L129" i="56" s="1"/>
  <c r="G129" i="56"/>
  <c r="J131" i="56"/>
  <c r="L131" i="56" s="1"/>
  <c r="G131" i="56"/>
  <c r="G132" i="56"/>
  <c r="J132" i="56"/>
  <c r="L132" i="56" s="1"/>
  <c r="J133" i="56"/>
  <c r="L133" i="56" s="1"/>
  <c r="G133" i="56"/>
  <c r="J134" i="56"/>
  <c r="L134" i="56" s="1"/>
  <c r="G134" i="56"/>
  <c r="J135" i="56"/>
  <c r="L135" i="56" s="1"/>
  <c r="G135" i="56"/>
  <c r="J126" i="56"/>
  <c r="L126" i="56" s="1"/>
  <c r="G126" i="56"/>
  <c r="J119" i="56"/>
  <c r="L119" i="56" s="1"/>
  <c r="G119" i="56"/>
  <c r="J120" i="56"/>
  <c r="L120" i="56" s="1"/>
  <c r="G120" i="56"/>
  <c r="J121" i="56"/>
  <c r="L121" i="56" s="1"/>
  <c r="G121" i="56"/>
  <c r="J122" i="56"/>
  <c r="L122" i="56" s="1"/>
  <c r="G122" i="56"/>
  <c r="J123" i="56"/>
  <c r="L123" i="56" s="1"/>
  <c r="G123" i="56"/>
  <c r="J107" i="56"/>
  <c r="L107" i="56" s="1"/>
  <c r="G107" i="56"/>
  <c r="J108" i="56"/>
  <c r="L108" i="56" s="1"/>
  <c r="G108" i="56"/>
  <c r="J109" i="56"/>
  <c r="L109" i="56" s="1"/>
  <c r="G109" i="56"/>
  <c r="J110" i="56"/>
  <c r="L110" i="56" s="1"/>
  <c r="G110" i="56"/>
  <c r="J111" i="56"/>
  <c r="L111" i="56" s="1"/>
  <c r="G111" i="56"/>
  <c r="J113" i="56"/>
  <c r="L113" i="56" s="1"/>
  <c r="G113" i="56"/>
  <c r="J114" i="56"/>
  <c r="L114" i="56" s="1"/>
  <c r="G114" i="56"/>
  <c r="J115" i="56"/>
  <c r="L115" i="56" s="1"/>
  <c r="G115" i="56"/>
  <c r="J116" i="56"/>
  <c r="L116" i="56" s="1"/>
  <c r="G116" i="56"/>
  <c r="J117" i="56"/>
  <c r="L117" i="56" s="1"/>
  <c r="G117" i="56"/>
  <c r="G101" i="56"/>
  <c r="J101" i="56"/>
  <c r="L101" i="56" s="1"/>
  <c r="G102" i="56"/>
  <c r="J102" i="56"/>
  <c r="L102" i="56" s="1"/>
  <c r="J103" i="56"/>
  <c r="L103" i="56" s="1"/>
  <c r="G103" i="56"/>
  <c r="J104" i="56"/>
  <c r="L104" i="56" s="1"/>
  <c r="G104" i="56"/>
  <c r="J105" i="56"/>
  <c r="L105" i="56" s="1"/>
  <c r="G105" i="56"/>
  <c r="J97" i="56"/>
  <c r="L97" i="56" s="1"/>
  <c r="G97" i="56"/>
  <c r="G95" i="56"/>
  <c r="J95" i="56"/>
  <c r="L95" i="56" s="1"/>
  <c r="J98" i="56"/>
  <c r="L98" i="56" s="1"/>
  <c r="G98" i="56"/>
  <c r="J99" i="56"/>
  <c r="L99" i="56" s="1"/>
  <c r="G99" i="56"/>
  <c r="J96" i="56"/>
  <c r="L96" i="56" s="1"/>
  <c r="G96" i="56"/>
  <c r="J89" i="56"/>
  <c r="L89" i="56" s="1"/>
  <c r="G89" i="56"/>
  <c r="J90" i="56"/>
  <c r="L90" i="56" s="1"/>
  <c r="G90" i="56"/>
  <c r="J91" i="56"/>
  <c r="L91" i="56" s="1"/>
  <c r="G91" i="56"/>
  <c r="J92" i="56"/>
  <c r="L92" i="56" s="1"/>
  <c r="G92" i="56"/>
  <c r="J93" i="56"/>
  <c r="L93" i="56" s="1"/>
  <c r="G93" i="56"/>
  <c r="L73" i="56"/>
  <c r="N73" i="56" s="1"/>
  <c r="G73" i="56"/>
  <c r="L74" i="56"/>
  <c r="N74" i="56" s="1"/>
  <c r="G74" i="56"/>
  <c r="L75" i="56"/>
  <c r="N75" i="56" s="1"/>
  <c r="G75" i="56"/>
  <c r="G76" i="56"/>
  <c r="L76" i="56"/>
  <c r="N76" i="56" s="1"/>
  <c r="L77" i="56"/>
  <c r="N77" i="56" s="1"/>
  <c r="G77" i="56"/>
  <c r="L67" i="56"/>
  <c r="N67" i="56" s="1"/>
  <c r="G67" i="56"/>
  <c r="G68" i="56"/>
  <c r="L68" i="56"/>
  <c r="N68" i="56" s="1"/>
  <c r="L69" i="56"/>
  <c r="N69" i="56" s="1"/>
  <c r="G69" i="56"/>
  <c r="L70" i="56"/>
  <c r="N70" i="56" s="1"/>
  <c r="G70" i="56"/>
  <c r="L71" i="56"/>
  <c r="N71" i="56" s="1"/>
  <c r="G71" i="56"/>
  <c r="G61" i="56"/>
  <c r="L61" i="56"/>
  <c r="N61" i="56" s="1"/>
  <c r="L62" i="56"/>
  <c r="N62" i="56" s="1"/>
  <c r="G62" i="56"/>
  <c r="L63" i="56"/>
  <c r="N63" i="56" s="1"/>
  <c r="G63" i="56"/>
  <c r="L64" i="56"/>
  <c r="N64" i="56" s="1"/>
  <c r="G64" i="56"/>
  <c r="L65" i="56"/>
  <c r="N65" i="56" s="1"/>
  <c r="G65" i="56"/>
  <c r="L55" i="56"/>
  <c r="N55" i="56" s="1"/>
  <c r="G55" i="56"/>
  <c r="L56" i="56"/>
  <c r="N56" i="56" s="1"/>
  <c r="G56" i="56"/>
  <c r="L57" i="56"/>
  <c r="N57" i="56" s="1"/>
  <c r="G57" i="56"/>
  <c r="L58" i="56"/>
  <c r="N58" i="56" s="1"/>
  <c r="G58" i="56"/>
  <c r="L59" i="56"/>
  <c r="N59" i="56" s="1"/>
  <c r="G59" i="56"/>
  <c r="G49" i="56"/>
  <c r="L49" i="56"/>
  <c r="N49" i="56" s="1"/>
  <c r="L50" i="56"/>
  <c r="N50" i="56" s="1"/>
  <c r="G50" i="56"/>
  <c r="L51" i="56"/>
  <c r="N51" i="56" s="1"/>
  <c r="G51" i="56"/>
  <c r="L52" i="56"/>
  <c r="N52" i="56" s="1"/>
  <c r="G52" i="56"/>
  <c r="L53" i="56"/>
  <c r="N53" i="56" s="1"/>
  <c r="G53" i="56"/>
  <c r="L43" i="56"/>
  <c r="N43" i="56" s="1"/>
  <c r="G43" i="56"/>
  <c r="L44" i="56"/>
  <c r="N44" i="56" s="1"/>
  <c r="G44" i="56"/>
  <c r="L45" i="56"/>
  <c r="N45" i="56" s="1"/>
  <c r="G45" i="56"/>
  <c r="L46" i="56"/>
  <c r="N46" i="56" s="1"/>
  <c r="G46" i="56"/>
  <c r="L47" i="56"/>
  <c r="N47" i="56" s="1"/>
  <c r="G47" i="56"/>
  <c r="G37" i="56"/>
  <c r="L37" i="56"/>
  <c r="N37" i="56" s="1"/>
  <c r="L38" i="56"/>
  <c r="N38" i="56" s="1"/>
  <c r="G38" i="56"/>
  <c r="L39" i="56"/>
  <c r="N39" i="56" s="1"/>
  <c r="G39" i="56"/>
  <c r="L40" i="56"/>
  <c r="N40" i="56" s="1"/>
  <c r="G40" i="56"/>
  <c r="L41" i="56"/>
  <c r="N41" i="56" s="1"/>
  <c r="G41" i="56"/>
  <c r="L26" i="56"/>
  <c r="N26" i="56" s="1"/>
  <c r="G26" i="56"/>
  <c r="L27" i="56"/>
  <c r="N27" i="56" s="1"/>
  <c r="G27" i="56"/>
  <c r="L29" i="56"/>
  <c r="N29" i="56" s="1"/>
  <c r="G29" i="56"/>
  <c r="L31" i="56"/>
  <c r="N31" i="56" s="1"/>
  <c r="G31" i="56"/>
  <c r="L32" i="56"/>
  <c r="N32" i="56" s="1"/>
  <c r="G32" i="56"/>
  <c r="L33" i="56"/>
  <c r="N33" i="56" s="1"/>
  <c r="G33" i="56"/>
  <c r="L34" i="56"/>
  <c r="N34" i="56" s="1"/>
  <c r="G34" i="56"/>
  <c r="L25" i="56"/>
  <c r="N25" i="56" s="1"/>
  <c r="G25" i="56"/>
  <c r="L28" i="56"/>
  <c r="N28" i="56" s="1"/>
  <c r="G28" i="56"/>
  <c r="L35" i="56"/>
  <c r="N35" i="56" s="1"/>
  <c r="G35" i="56"/>
  <c r="G19" i="56"/>
  <c r="L19" i="56"/>
  <c r="N19" i="56" s="1"/>
  <c r="G20" i="56"/>
  <c r="L20" i="56"/>
  <c r="N20" i="56" s="1"/>
  <c r="L21" i="56"/>
  <c r="N21" i="56" s="1"/>
  <c r="G21" i="56"/>
  <c r="L22" i="56"/>
  <c r="N22" i="56" s="1"/>
  <c r="G22" i="56"/>
  <c r="L23" i="56"/>
  <c r="N23" i="56" s="1"/>
  <c r="G23" i="56"/>
  <c r="J139" i="54"/>
  <c r="L139" i="54" s="1"/>
  <c r="G139" i="54"/>
  <c r="J140" i="54"/>
  <c r="L140" i="54" s="1"/>
  <c r="G140" i="54"/>
  <c r="J141" i="54"/>
  <c r="L141" i="54" s="1"/>
  <c r="G141" i="54"/>
  <c r="G143" i="54"/>
  <c r="J143" i="54"/>
  <c r="L143" i="54" s="1"/>
  <c r="J144" i="54"/>
  <c r="L144" i="54" s="1"/>
  <c r="G144" i="54"/>
  <c r="G137" i="54"/>
  <c r="J137" i="54"/>
  <c r="L137" i="54" s="1"/>
  <c r="J138" i="54"/>
  <c r="L138" i="54" s="1"/>
  <c r="G138" i="54"/>
  <c r="J145" i="54"/>
  <c r="L145" i="54" s="1"/>
  <c r="G145" i="54"/>
  <c r="J146" i="54"/>
  <c r="L146" i="54" s="1"/>
  <c r="G146" i="54"/>
  <c r="J147" i="54"/>
  <c r="L147" i="54" s="1"/>
  <c r="G147" i="54"/>
  <c r="G126" i="54"/>
  <c r="J126" i="54"/>
  <c r="L126" i="54" s="1"/>
  <c r="J127" i="54"/>
  <c r="L127" i="54" s="1"/>
  <c r="G127" i="54"/>
  <c r="J128" i="54"/>
  <c r="L128" i="54" s="1"/>
  <c r="G128" i="54"/>
  <c r="J129" i="54"/>
  <c r="L129" i="54" s="1"/>
  <c r="G129" i="54"/>
  <c r="G131" i="54"/>
  <c r="J131" i="54"/>
  <c r="L131" i="54" s="1"/>
  <c r="J132" i="54"/>
  <c r="L132" i="54" s="1"/>
  <c r="G132" i="54"/>
  <c r="G125" i="54"/>
  <c r="J125" i="54"/>
  <c r="L125" i="54" s="1"/>
  <c r="J133" i="54"/>
  <c r="L133" i="54" s="1"/>
  <c r="G133" i="54"/>
  <c r="J134" i="54"/>
  <c r="L134" i="54" s="1"/>
  <c r="G134" i="54"/>
  <c r="J135" i="54"/>
  <c r="L135" i="54" s="1"/>
  <c r="G135" i="54"/>
  <c r="J119" i="54"/>
  <c r="L119" i="54" s="1"/>
  <c r="G119" i="54"/>
  <c r="J120" i="54"/>
  <c r="L120" i="54" s="1"/>
  <c r="G120" i="54"/>
  <c r="J121" i="54"/>
  <c r="L121" i="54" s="1"/>
  <c r="G121" i="54"/>
  <c r="J122" i="54"/>
  <c r="L122" i="54" s="1"/>
  <c r="G122" i="54"/>
  <c r="G123" i="54"/>
  <c r="J123" i="54"/>
  <c r="L123" i="54" s="1"/>
  <c r="J111" i="54"/>
  <c r="L111" i="54" s="1"/>
  <c r="G111" i="54"/>
  <c r="J109" i="54"/>
  <c r="L109" i="54" s="1"/>
  <c r="G109" i="54"/>
  <c r="J113" i="54"/>
  <c r="L113" i="54" s="1"/>
  <c r="G113" i="54"/>
  <c r="J114" i="54"/>
  <c r="L114" i="54" s="1"/>
  <c r="G114" i="54"/>
  <c r="G115" i="54"/>
  <c r="J115" i="54"/>
  <c r="L115" i="54" s="1"/>
  <c r="J116" i="54"/>
  <c r="L116" i="54" s="1"/>
  <c r="G116" i="54"/>
  <c r="J107" i="54"/>
  <c r="L107" i="54" s="1"/>
  <c r="G107" i="54"/>
  <c r="G110" i="54"/>
  <c r="J110" i="54"/>
  <c r="L110" i="54" s="1"/>
  <c r="J117" i="54"/>
  <c r="L117" i="54" s="1"/>
  <c r="G117" i="54"/>
  <c r="J108" i="54"/>
  <c r="L108" i="54" s="1"/>
  <c r="G108" i="54"/>
  <c r="G101" i="54"/>
  <c r="J101" i="54"/>
  <c r="L101" i="54" s="1"/>
  <c r="J102" i="54"/>
  <c r="L102" i="54" s="1"/>
  <c r="G102" i="54"/>
  <c r="J103" i="54"/>
  <c r="L103" i="54" s="1"/>
  <c r="G103" i="54"/>
  <c r="J104" i="54"/>
  <c r="L104" i="54" s="1"/>
  <c r="G104" i="54"/>
  <c r="J105" i="54"/>
  <c r="L105" i="54" s="1"/>
  <c r="G105" i="54"/>
  <c r="G95" i="54"/>
  <c r="J95" i="54"/>
  <c r="L95" i="54" s="1"/>
  <c r="J96" i="54"/>
  <c r="L96" i="54" s="1"/>
  <c r="G96" i="54"/>
  <c r="J97" i="54"/>
  <c r="L97" i="54" s="1"/>
  <c r="G97" i="54"/>
  <c r="J98" i="54"/>
  <c r="L98" i="54" s="1"/>
  <c r="G98" i="54"/>
  <c r="J99" i="54"/>
  <c r="L99" i="54" s="1"/>
  <c r="G99" i="54"/>
  <c r="J89" i="54"/>
  <c r="L89" i="54" s="1"/>
  <c r="G89" i="54"/>
  <c r="J90" i="54"/>
  <c r="L90" i="54" s="1"/>
  <c r="G90" i="54"/>
  <c r="J91" i="54"/>
  <c r="L91" i="54" s="1"/>
  <c r="G91" i="54"/>
  <c r="J92" i="54"/>
  <c r="L92" i="54" s="1"/>
  <c r="G92" i="54"/>
  <c r="J93" i="54"/>
  <c r="L93" i="54" s="1"/>
  <c r="G93" i="54"/>
  <c r="G73" i="54"/>
  <c r="L73" i="54"/>
  <c r="N73" i="54" s="1"/>
  <c r="L74" i="54"/>
  <c r="N74" i="54" s="1"/>
  <c r="G74" i="54"/>
  <c r="L75" i="54"/>
  <c r="N75" i="54" s="1"/>
  <c r="G75" i="54"/>
  <c r="L76" i="54"/>
  <c r="N76" i="54" s="1"/>
  <c r="G76" i="54"/>
  <c r="L77" i="54"/>
  <c r="N77" i="54" s="1"/>
  <c r="G77" i="54"/>
  <c r="L67" i="54"/>
  <c r="N67" i="54" s="1"/>
  <c r="G67" i="54"/>
  <c r="L68" i="54"/>
  <c r="N68" i="54" s="1"/>
  <c r="G68" i="54"/>
  <c r="L69" i="54"/>
  <c r="N69" i="54" s="1"/>
  <c r="G69" i="54"/>
  <c r="L70" i="54"/>
  <c r="N70" i="54" s="1"/>
  <c r="G70" i="54"/>
  <c r="L71" i="54"/>
  <c r="N71" i="54" s="1"/>
  <c r="G71" i="54"/>
  <c r="G61" i="54"/>
  <c r="L61" i="54"/>
  <c r="N61" i="54" s="1"/>
  <c r="L63" i="54"/>
  <c r="N63" i="54" s="1"/>
  <c r="G63" i="54"/>
  <c r="L62" i="54"/>
  <c r="N62" i="54" s="1"/>
  <c r="G62" i="54"/>
  <c r="L64" i="54"/>
  <c r="N64" i="54" s="1"/>
  <c r="G64" i="54"/>
  <c r="L65" i="54"/>
  <c r="N65" i="54" s="1"/>
  <c r="G65" i="54"/>
  <c r="L55" i="54"/>
  <c r="N55" i="54" s="1"/>
  <c r="G55" i="54"/>
  <c r="G56" i="54"/>
  <c r="L56" i="54"/>
  <c r="N56" i="54" s="1"/>
  <c r="L57" i="54"/>
  <c r="N57" i="54" s="1"/>
  <c r="G57" i="54"/>
  <c r="L58" i="54"/>
  <c r="N58" i="54" s="1"/>
  <c r="G58" i="54"/>
  <c r="L59" i="54"/>
  <c r="N59" i="54" s="1"/>
  <c r="G59" i="54"/>
  <c r="L49" i="54"/>
  <c r="N49" i="54" s="1"/>
  <c r="G49" i="54"/>
  <c r="L50" i="54"/>
  <c r="N50" i="54" s="1"/>
  <c r="G50" i="54"/>
  <c r="L51" i="54"/>
  <c r="N51" i="54" s="1"/>
  <c r="G51" i="54"/>
  <c r="L52" i="54"/>
  <c r="N52" i="54" s="1"/>
  <c r="G52" i="54"/>
  <c r="L53" i="54"/>
  <c r="N53" i="54" s="1"/>
  <c r="G53" i="54"/>
  <c r="G43" i="54"/>
  <c r="L43" i="54"/>
  <c r="N43" i="54" s="1"/>
  <c r="G44" i="54"/>
  <c r="L44" i="54"/>
  <c r="N44" i="54" s="1"/>
  <c r="L45" i="54"/>
  <c r="N45" i="54" s="1"/>
  <c r="G45" i="54"/>
  <c r="L46" i="54"/>
  <c r="N46" i="54" s="1"/>
  <c r="G46" i="54"/>
  <c r="L47" i="54"/>
  <c r="N47" i="54" s="1"/>
  <c r="G47" i="54"/>
  <c r="G37" i="54"/>
  <c r="L37" i="54"/>
  <c r="N37" i="54" s="1"/>
  <c r="L38" i="54"/>
  <c r="N38" i="54" s="1"/>
  <c r="G38" i="54"/>
  <c r="L39" i="54"/>
  <c r="N39" i="54" s="1"/>
  <c r="G39" i="54"/>
  <c r="L40" i="54"/>
  <c r="N40" i="54" s="1"/>
  <c r="G40" i="54"/>
  <c r="L41" i="54"/>
  <c r="N41" i="54" s="1"/>
  <c r="G41" i="54"/>
  <c r="L27" i="54"/>
  <c r="N27" i="54" s="1"/>
  <c r="G27" i="54"/>
  <c r="L28" i="54"/>
  <c r="N28" i="54" s="1"/>
  <c r="G28" i="54"/>
  <c r="L29" i="54"/>
  <c r="N29" i="54" s="1"/>
  <c r="G29" i="54"/>
  <c r="L31" i="54"/>
  <c r="N31" i="54" s="1"/>
  <c r="G31" i="54"/>
  <c r="G25" i="54"/>
  <c r="L25" i="54"/>
  <c r="N25" i="54" s="1"/>
  <c r="L32" i="54"/>
  <c r="N32" i="54" s="1"/>
  <c r="G32" i="54"/>
  <c r="L26" i="54"/>
  <c r="N26" i="54" s="1"/>
  <c r="G26" i="54"/>
  <c r="L33" i="54"/>
  <c r="N33" i="54" s="1"/>
  <c r="G33" i="54"/>
  <c r="L34" i="54"/>
  <c r="N34" i="54" s="1"/>
  <c r="G34" i="54"/>
  <c r="L35" i="54"/>
  <c r="N35" i="54" s="1"/>
  <c r="G35" i="54"/>
  <c r="L19" i="54"/>
  <c r="N19" i="54" s="1"/>
  <c r="G19" i="54"/>
  <c r="G20" i="54"/>
  <c r="L20" i="54"/>
  <c r="N20" i="54" s="1"/>
  <c r="L21" i="54"/>
  <c r="N21" i="54" s="1"/>
  <c r="G21" i="54"/>
  <c r="L22" i="54"/>
  <c r="N22" i="54" s="1"/>
  <c r="G22" i="54"/>
  <c r="L23" i="54"/>
  <c r="N23" i="54" s="1"/>
  <c r="G23" i="54"/>
  <c r="E147" i="53"/>
  <c r="E146" i="53"/>
  <c r="E139" i="53"/>
  <c r="E145" i="53"/>
  <c r="E137" i="53"/>
  <c r="E144" i="53"/>
  <c r="E143" i="53"/>
  <c r="E141" i="53"/>
  <c r="E140" i="53"/>
  <c r="E138" i="53"/>
  <c r="E135" i="53"/>
  <c r="E126" i="53"/>
  <c r="E125" i="53"/>
  <c r="E134" i="53"/>
  <c r="E133" i="53"/>
  <c r="E132" i="53"/>
  <c r="E131" i="53"/>
  <c r="E129" i="53"/>
  <c r="E128" i="53"/>
  <c r="E127" i="53"/>
  <c r="E123" i="53"/>
  <c r="E122" i="53"/>
  <c r="E121" i="53"/>
  <c r="E119" i="53"/>
  <c r="E120" i="53"/>
  <c r="E117" i="53"/>
  <c r="E109" i="53"/>
  <c r="E108" i="53"/>
  <c r="E116" i="53"/>
  <c r="E115" i="53"/>
  <c r="E114" i="53"/>
  <c r="E113" i="53"/>
  <c r="E111" i="53"/>
  <c r="E110" i="53"/>
  <c r="E107" i="53"/>
  <c r="E105" i="53"/>
  <c r="E104" i="53"/>
  <c r="E103" i="53"/>
  <c r="E102" i="53"/>
  <c r="E101" i="53"/>
  <c r="E99" i="53"/>
  <c r="E98" i="53"/>
  <c r="E95" i="53"/>
  <c r="E97" i="53"/>
  <c r="E96" i="53"/>
  <c r="E93" i="53"/>
  <c r="E92" i="53"/>
  <c r="E89" i="53"/>
  <c r="E91" i="53"/>
  <c r="E90" i="53"/>
  <c r="E73" i="53"/>
  <c r="E77" i="53"/>
  <c r="E74" i="53"/>
  <c r="E76" i="53"/>
  <c r="E75" i="53"/>
  <c r="E71" i="53"/>
  <c r="E67" i="53"/>
  <c r="E70" i="53"/>
  <c r="E68" i="53"/>
  <c r="E69" i="53"/>
  <c r="E65" i="53"/>
  <c r="E64" i="53"/>
  <c r="E62" i="53"/>
  <c r="E63" i="53"/>
  <c r="E61" i="53"/>
  <c r="E59" i="53"/>
  <c r="E58" i="53"/>
  <c r="E57" i="53"/>
  <c r="E56" i="53"/>
  <c r="E55" i="53"/>
  <c r="E53" i="53"/>
  <c r="E49" i="53"/>
  <c r="E52" i="53"/>
  <c r="E51" i="53"/>
  <c r="E50" i="53"/>
  <c r="E47" i="53"/>
  <c r="E46" i="53"/>
  <c r="E45" i="53"/>
  <c r="E44" i="53"/>
  <c r="E43" i="53"/>
  <c r="E41" i="53"/>
  <c r="E40" i="53"/>
  <c r="E39" i="53"/>
  <c r="E37" i="53"/>
  <c r="E38" i="53"/>
  <c r="E28" i="53"/>
  <c r="E27" i="53"/>
  <c r="E35" i="53"/>
  <c r="E34" i="53"/>
  <c r="E26" i="53"/>
  <c r="E33" i="53"/>
  <c r="E32" i="53"/>
  <c r="E31" i="53"/>
  <c r="E29" i="53"/>
  <c r="E25" i="53"/>
  <c r="E23" i="53"/>
  <c r="E22" i="53"/>
  <c r="E21" i="53"/>
  <c r="E20" i="53"/>
  <c r="E19" i="53"/>
  <c r="E37" i="19"/>
  <c r="E137" i="19"/>
  <c r="E125" i="19"/>
  <c r="J125" i="19" s="1"/>
  <c r="E107" i="19"/>
  <c r="E95" i="19"/>
  <c r="E67" i="19"/>
  <c r="E55" i="19"/>
  <c r="E20" i="19"/>
  <c r="E21" i="19"/>
  <c r="E43" i="19"/>
  <c r="E119" i="19"/>
  <c r="E89" i="19"/>
  <c r="E22" i="19"/>
  <c r="E143" i="19"/>
  <c r="E101" i="19"/>
  <c r="E73" i="19"/>
  <c r="E61" i="19"/>
  <c r="E49" i="19"/>
  <c r="E25" i="19"/>
  <c r="E23" i="19"/>
  <c r="E19" i="19"/>
  <c r="E90" i="19"/>
  <c r="E131" i="19"/>
  <c r="E113" i="19"/>
  <c r="E31" i="19"/>
  <c r="H74" i="20"/>
  <c r="G74" i="20"/>
  <c r="F74" i="20"/>
  <c r="E74" i="20"/>
  <c r="D74" i="20"/>
  <c r="C74" i="20"/>
  <c r="L86" i="56"/>
  <c r="K86" i="56"/>
  <c r="J86" i="56"/>
  <c r="I86" i="56"/>
  <c r="H86" i="56"/>
  <c r="G86" i="56"/>
  <c r="F86" i="56"/>
  <c r="E86" i="56"/>
  <c r="D86" i="56"/>
  <c r="E87" i="56" s="1"/>
  <c r="C86" i="56"/>
  <c r="L86" i="54"/>
  <c r="K86" i="54"/>
  <c r="J86" i="54"/>
  <c r="I86" i="54"/>
  <c r="H86" i="54"/>
  <c r="G86" i="54"/>
  <c r="F86" i="54"/>
  <c r="E86" i="54"/>
  <c r="D86" i="54"/>
  <c r="E87" i="54" s="1"/>
  <c r="C86" i="54"/>
  <c r="L86" i="53"/>
  <c r="K86" i="53"/>
  <c r="J86" i="53"/>
  <c r="I86" i="53"/>
  <c r="H86" i="53"/>
  <c r="G86" i="53"/>
  <c r="F86" i="53"/>
  <c r="E86" i="53"/>
  <c r="D86" i="53"/>
  <c r="E87" i="53" s="1"/>
  <c r="C86" i="53"/>
  <c r="N16" i="56"/>
  <c r="M16" i="56"/>
  <c r="L16" i="56"/>
  <c r="K16" i="56"/>
  <c r="J16" i="56"/>
  <c r="I16" i="56"/>
  <c r="H16" i="56"/>
  <c r="G16" i="56"/>
  <c r="F16" i="56"/>
  <c r="E16" i="56"/>
  <c r="D16" i="56"/>
  <c r="E17" i="56" s="1"/>
  <c r="C16" i="56"/>
  <c r="N16" i="54"/>
  <c r="M16" i="54"/>
  <c r="L16" i="54"/>
  <c r="K16" i="54"/>
  <c r="J16" i="54"/>
  <c r="I16" i="54"/>
  <c r="H16" i="54"/>
  <c r="G16" i="54"/>
  <c r="F16" i="54"/>
  <c r="E16" i="54"/>
  <c r="D16" i="54"/>
  <c r="E17" i="54" s="1"/>
  <c r="C16" i="54"/>
  <c r="N16" i="53"/>
  <c r="M16" i="53"/>
  <c r="L16" i="53"/>
  <c r="K16" i="53"/>
  <c r="J16" i="53"/>
  <c r="I16" i="53"/>
  <c r="H16" i="53"/>
  <c r="G16" i="53"/>
  <c r="F16" i="53"/>
  <c r="M17" i="53" s="1"/>
  <c r="E16" i="53"/>
  <c r="D16" i="53"/>
  <c r="E17" i="53" s="1"/>
  <c r="C16" i="53"/>
  <c r="D86" i="19"/>
  <c r="E87" i="19" s="1"/>
  <c r="E86" i="19"/>
  <c r="F86" i="19"/>
  <c r="G86" i="19"/>
  <c r="H86" i="19"/>
  <c r="I86" i="19"/>
  <c r="J86" i="19"/>
  <c r="K86" i="19"/>
  <c r="L86" i="19"/>
  <c r="C86" i="19"/>
  <c r="D16" i="19"/>
  <c r="E17" i="19" s="1"/>
  <c r="E16" i="19"/>
  <c r="F16" i="19"/>
  <c r="G16" i="19"/>
  <c r="H16" i="19"/>
  <c r="I16" i="19"/>
  <c r="J16" i="19"/>
  <c r="K16" i="19"/>
  <c r="L16" i="19"/>
  <c r="M16" i="19"/>
  <c r="N16" i="19"/>
  <c r="C16" i="19"/>
  <c r="M17" i="56" l="1"/>
  <c r="H87" i="56"/>
  <c r="L17" i="54"/>
  <c r="H87" i="54"/>
  <c r="G138" i="53"/>
  <c r="J138" i="53"/>
  <c r="L138" i="53" s="1"/>
  <c r="J140" i="53"/>
  <c r="L140" i="53" s="1"/>
  <c r="G140" i="53"/>
  <c r="J141" i="53"/>
  <c r="L141" i="53" s="1"/>
  <c r="G141" i="53"/>
  <c r="G143" i="53"/>
  <c r="J143" i="53"/>
  <c r="L143" i="53" s="1"/>
  <c r="J144" i="53"/>
  <c r="L144" i="53" s="1"/>
  <c r="G144" i="53"/>
  <c r="J137" i="53"/>
  <c r="L137" i="53" s="1"/>
  <c r="G137" i="53"/>
  <c r="J145" i="53"/>
  <c r="L145" i="53" s="1"/>
  <c r="G145" i="53"/>
  <c r="G139" i="53"/>
  <c r="J139" i="53"/>
  <c r="L139" i="53" s="1"/>
  <c r="J146" i="53"/>
  <c r="L146" i="53" s="1"/>
  <c r="G146" i="53"/>
  <c r="J147" i="53"/>
  <c r="L147" i="53" s="1"/>
  <c r="G147" i="53"/>
  <c r="J127" i="53"/>
  <c r="L127" i="53" s="1"/>
  <c r="G127" i="53"/>
  <c r="J128" i="53"/>
  <c r="L128" i="53" s="1"/>
  <c r="G128" i="53"/>
  <c r="J129" i="53"/>
  <c r="L129" i="53" s="1"/>
  <c r="G129" i="53"/>
  <c r="G131" i="53"/>
  <c r="J131" i="53"/>
  <c r="L131" i="53" s="1"/>
  <c r="J132" i="53"/>
  <c r="L132" i="53" s="1"/>
  <c r="G132" i="53"/>
  <c r="J133" i="53"/>
  <c r="L133" i="53" s="1"/>
  <c r="G133" i="53"/>
  <c r="J134" i="53"/>
  <c r="L134" i="53" s="1"/>
  <c r="G134" i="53"/>
  <c r="J125" i="53"/>
  <c r="L125" i="53" s="1"/>
  <c r="G125" i="53"/>
  <c r="G126" i="53"/>
  <c r="J126" i="53"/>
  <c r="L126" i="53" s="1"/>
  <c r="J135" i="53"/>
  <c r="L135" i="53" s="1"/>
  <c r="G135" i="53"/>
  <c r="J120" i="53"/>
  <c r="L120" i="53" s="1"/>
  <c r="G120" i="53"/>
  <c r="J119" i="53"/>
  <c r="L119" i="53" s="1"/>
  <c r="G119" i="53"/>
  <c r="J121" i="53"/>
  <c r="L121" i="53" s="1"/>
  <c r="G121" i="53"/>
  <c r="J122" i="53"/>
  <c r="L122" i="53" s="1"/>
  <c r="G122" i="53"/>
  <c r="J123" i="53"/>
  <c r="L123" i="53" s="1"/>
  <c r="G123" i="53"/>
  <c r="G107" i="53"/>
  <c r="J107" i="53"/>
  <c r="L107" i="53" s="1"/>
  <c r="J110" i="53"/>
  <c r="L110" i="53" s="1"/>
  <c r="G110" i="53"/>
  <c r="J111" i="53"/>
  <c r="L111" i="53" s="1"/>
  <c r="G111" i="53"/>
  <c r="J113" i="53"/>
  <c r="L113" i="53" s="1"/>
  <c r="G113" i="53"/>
  <c r="J114" i="53"/>
  <c r="L114" i="53" s="1"/>
  <c r="G114" i="53"/>
  <c r="J115" i="53"/>
  <c r="L115" i="53" s="1"/>
  <c r="G115" i="53"/>
  <c r="J116" i="53"/>
  <c r="L116" i="53" s="1"/>
  <c r="G116" i="53"/>
  <c r="G108" i="53"/>
  <c r="J108" i="53"/>
  <c r="L108" i="53" s="1"/>
  <c r="J109" i="53"/>
  <c r="L109" i="53" s="1"/>
  <c r="G109" i="53"/>
  <c r="J117" i="53"/>
  <c r="L117" i="53" s="1"/>
  <c r="G117" i="53"/>
  <c r="J101" i="53"/>
  <c r="L101" i="53" s="1"/>
  <c r="G101" i="53"/>
  <c r="J102" i="53"/>
  <c r="L102" i="53" s="1"/>
  <c r="G102" i="53"/>
  <c r="J103" i="53"/>
  <c r="L103" i="53" s="1"/>
  <c r="G103" i="53"/>
  <c r="J104" i="53"/>
  <c r="L104" i="53" s="1"/>
  <c r="G104" i="53"/>
  <c r="J105" i="53"/>
  <c r="L105" i="53" s="1"/>
  <c r="G105" i="53"/>
  <c r="J96" i="53"/>
  <c r="L96" i="53" s="1"/>
  <c r="G96" i="53"/>
  <c r="J97" i="53"/>
  <c r="L97" i="53" s="1"/>
  <c r="G97" i="53"/>
  <c r="G95" i="53"/>
  <c r="J95" i="53"/>
  <c r="L95" i="53" s="1"/>
  <c r="J98" i="53"/>
  <c r="L98" i="53" s="1"/>
  <c r="G98" i="53"/>
  <c r="G99" i="53"/>
  <c r="J99" i="53"/>
  <c r="L99" i="53" s="1"/>
  <c r="G90" i="53"/>
  <c r="J90" i="53"/>
  <c r="L90" i="53" s="1"/>
  <c r="J91" i="53"/>
  <c r="L91" i="53" s="1"/>
  <c r="G91" i="53"/>
  <c r="G89" i="53"/>
  <c r="J89" i="53"/>
  <c r="L89" i="53" s="1"/>
  <c r="J92" i="53"/>
  <c r="L92" i="53" s="1"/>
  <c r="G92" i="53"/>
  <c r="J93" i="53"/>
  <c r="L93" i="53" s="1"/>
  <c r="G93" i="53"/>
  <c r="L75" i="53"/>
  <c r="N75" i="53" s="1"/>
  <c r="G75" i="53"/>
  <c r="L76" i="53"/>
  <c r="N76" i="53" s="1"/>
  <c r="G76" i="53"/>
  <c r="L74" i="53"/>
  <c r="N74" i="53" s="1"/>
  <c r="G74" i="53"/>
  <c r="L77" i="53"/>
  <c r="N77" i="53" s="1"/>
  <c r="G77" i="53"/>
  <c r="L73" i="53"/>
  <c r="N73" i="53" s="1"/>
  <c r="G73" i="53"/>
  <c r="G69" i="53"/>
  <c r="L69" i="53"/>
  <c r="N69" i="53" s="1"/>
  <c r="L68" i="53"/>
  <c r="N68" i="53" s="1"/>
  <c r="G68" i="53"/>
  <c r="L70" i="53"/>
  <c r="N70" i="53" s="1"/>
  <c r="G70" i="53"/>
  <c r="L67" i="53"/>
  <c r="N67" i="53" s="1"/>
  <c r="G67" i="53"/>
  <c r="L71" i="53"/>
  <c r="N71" i="53" s="1"/>
  <c r="G71" i="53"/>
  <c r="L61" i="53"/>
  <c r="N61" i="53" s="1"/>
  <c r="G61" i="53"/>
  <c r="L63" i="53"/>
  <c r="N63" i="53" s="1"/>
  <c r="G63" i="53"/>
  <c r="L62" i="53"/>
  <c r="N62" i="53" s="1"/>
  <c r="G62" i="53"/>
  <c r="L64" i="53"/>
  <c r="N64" i="53" s="1"/>
  <c r="G64" i="53"/>
  <c r="L17" i="53"/>
  <c r="L65" i="53"/>
  <c r="N65" i="53" s="1"/>
  <c r="G65" i="53"/>
  <c r="G55" i="53"/>
  <c r="L55" i="53"/>
  <c r="N55" i="53" s="1"/>
  <c r="G56" i="53"/>
  <c r="L56" i="53"/>
  <c r="N56" i="53" s="1"/>
  <c r="L57" i="53"/>
  <c r="N57" i="53" s="1"/>
  <c r="G57" i="53"/>
  <c r="L58" i="53"/>
  <c r="N58" i="53" s="1"/>
  <c r="G58" i="53"/>
  <c r="L59" i="53"/>
  <c r="N59" i="53" s="1"/>
  <c r="G59" i="53"/>
  <c r="L50" i="53"/>
  <c r="N50" i="53" s="1"/>
  <c r="G50" i="53"/>
  <c r="G51" i="53"/>
  <c r="L51" i="53"/>
  <c r="N51" i="53" s="1"/>
  <c r="L52" i="53"/>
  <c r="N52" i="53" s="1"/>
  <c r="G52" i="53"/>
  <c r="L49" i="53"/>
  <c r="N49" i="53" s="1"/>
  <c r="G49" i="53"/>
  <c r="L53" i="53"/>
  <c r="N53" i="53" s="1"/>
  <c r="G53" i="53"/>
  <c r="G43" i="53"/>
  <c r="L43" i="53"/>
  <c r="N43" i="53" s="1"/>
  <c r="L44" i="53"/>
  <c r="N44" i="53" s="1"/>
  <c r="G44" i="53"/>
  <c r="L45" i="53"/>
  <c r="N45" i="53" s="1"/>
  <c r="G45" i="53"/>
  <c r="L46" i="53"/>
  <c r="N46" i="53" s="1"/>
  <c r="G46" i="53"/>
  <c r="L47" i="53"/>
  <c r="N47" i="53" s="1"/>
  <c r="G47" i="53"/>
  <c r="L38" i="53"/>
  <c r="N38" i="53" s="1"/>
  <c r="G38" i="53"/>
  <c r="G37" i="53"/>
  <c r="L37" i="53"/>
  <c r="N37" i="53" s="1"/>
  <c r="L39" i="53"/>
  <c r="N39" i="53" s="1"/>
  <c r="G39" i="53"/>
  <c r="L40" i="53"/>
  <c r="N40" i="53" s="1"/>
  <c r="G40" i="53"/>
  <c r="L41" i="53"/>
  <c r="N41" i="53" s="1"/>
  <c r="G41" i="53"/>
  <c r="L25" i="53"/>
  <c r="N25" i="53" s="1"/>
  <c r="G25" i="53"/>
  <c r="L29" i="53"/>
  <c r="N29" i="53" s="1"/>
  <c r="G29" i="53"/>
  <c r="G31" i="53"/>
  <c r="L31" i="53"/>
  <c r="N31" i="53" s="1"/>
  <c r="G32" i="53"/>
  <c r="L32" i="53"/>
  <c r="N32" i="53" s="1"/>
  <c r="G33" i="53"/>
  <c r="L33" i="53"/>
  <c r="N33" i="53" s="1"/>
  <c r="G26" i="53"/>
  <c r="L26" i="53"/>
  <c r="N26" i="53" s="1"/>
  <c r="L34" i="53"/>
  <c r="N34" i="53" s="1"/>
  <c r="G34" i="53"/>
  <c r="H87" i="53"/>
  <c r="L35" i="53"/>
  <c r="N35" i="53" s="1"/>
  <c r="G35" i="53"/>
  <c r="L27" i="53"/>
  <c r="N27" i="53" s="1"/>
  <c r="G27" i="53"/>
  <c r="L28" i="53"/>
  <c r="N28" i="53" s="1"/>
  <c r="G28" i="53"/>
  <c r="L19" i="53"/>
  <c r="N19" i="53" s="1"/>
  <c r="G19" i="53"/>
  <c r="L20" i="53"/>
  <c r="N20" i="53" s="1"/>
  <c r="G20" i="53"/>
  <c r="G21" i="53"/>
  <c r="L21" i="53"/>
  <c r="N21" i="53" s="1"/>
  <c r="L22" i="53"/>
  <c r="N22" i="53" s="1"/>
  <c r="G22" i="53"/>
  <c r="L23" i="53"/>
  <c r="N23" i="53" s="1"/>
  <c r="G23" i="53"/>
  <c r="H87" i="19"/>
  <c r="L17" i="56"/>
  <c r="M17" i="54"/>
  <c r="M17" i="19"/>
  <c r="L17" i="19"/>
  <c r="C66" i="20"/>
  <c r="H66" i="20"/>
  <c r="J90" i="19"/>
  <c r="L90" i="19" s="1"/>
  <c r="G90" i="19"/>
  <c r="E80" i="20"/>
  <c r="E78" i="20"/>
  <c r="G43" i="19"/>
  <c r="L43" i="19"/>
  <c r="L55" i="19"/>
  <c r="G55" i="19"/>
  <c r="C64" i="20"/>
  <c r="H64" i="20"/>
  <c r="C77" i="20"/>
  <c r="H77" i="20"/>
  <c r="G21" i="19"/>
  <c r="L21" i="19"/>
  <c r="N21" i="19" s="1"/>
  <c r="E64" i="20"/>
  <c r="G67" i="19"/>
  <c r="L67" i="19"/>
  <c r="E81" i="20"/>
  <c r="E79" i="20"/>
  <c r="C65" i="20"/>
  <c r="C63" i="20"/>
  <c r="C61" i="20"/>
  <c r="H61" i="20"/>
  <c r="E77" i="20"/>
  <c r="E66" i="20"/>
  <c r="G107" i="19"/>
  <c r="J107" i="19"/>
  <c r="L107" i="19" s="1"/>
  <c r="G113" i="19"/>
  <c r="J113" i="19"/>
  <c r="E61" i="20"/>
  <c r="L23" i="19"/>
  <c r="N23" i="19" s="1"/>
  <c r="G23" i="19"/>
  <c r="E34" i="20"/>
  <c r="L125" i="19"/>
  <c r="J95" i="19"/>
  <c r="L95" i="19" s="1"/>
  <c r="G95" i="19"/>
  <c r="G137" i="19"/>
  <c r="J137" i="19"/>
  <c r="G31" i="19"/>
  <c r="L31" i="19"/>
  <c r="N31" i="19" s="1"/>
  <c r="G143" i="19"/>
  <c r="J143" i="19"/>
  <c r="G22" i="19"/>
  <c r="L22" i="19"/>
  <c r="N22" i="19" s="1"/>
  <c r="G19" i="19"/>
  <c r="L19" i="19"/>
  <c r="C81" i="20"/>
  <c r="H81" i="20"/>
  <c r="L37" i="19"/>
  <c r="N37" i="19" s="1"/>
  <c r="G37" i="19"/>
  <c r="L25" i="19"/>
  <c r="N25" i="19" s="1"/>
  <c r="G25" i="19"/>
  <c r="L61" i="19"/>
  <c r="N61" i="19" s="1"/>
  <c r="G61" i="19"/>
  <c r="C76" i="20"/>
  <c r="H76" i="20"/>
  <c r="G49" i="19"/>
  <c r="L49" i="19"/>
  <c r="G131" i="19"/>
  <c r="J131" i="19"/>
  <c r="L131" i="19" s="1"/>
  <c r="E65" i="20"/>
  <c r="E63" i="20"/>
  <c r="J89" i="19"/>
  <c r="G89" i="19"/>
  <c r="E76" i="20"/>
  <c r="E82" i="20" s="1"/>
  <c r="E62" i="20"/>
  <c r="J119" i="19"/>
  <c r="G119" i="19"/>
  <c r="G73" i="19"/>
  <c r="L73" i="19"/>
  <c r="G20" i="19"/>
  <c r="L20" i="19"/>
  <c r="N20" i="19" s="1"/>
  <c r="C79" i="20"/>
  <c r="H79" i="20"/>
  <c r="J101" i="19"/>
  <c r="L101" i="19" s="1"/>
  <c r="G101" i="19"/>
  <c r="C62" i="20"/>
  <c r="H62" i="20"/>
  <c r="C80" i="20"/>
  <c r="C78" i="20"/>
  <c r="J87" i="56"/>
  <c r="L87" i="56"/>
  <c r="G87" i="56"/>
  <c r="N17" i="56"/>
  <c r="G17" i="56"/>
  <c r="J87" i="54"/>
  <c r="L87" i="54"/>
  <c r="G87" i="54"/>
  <c r="N17" i="54"/>
  <c r="H17" i="54"/>
  <c r="L87" i="53"/>
  <c r="G87" i="53"/>
  <c r="J87" i="53"/>
  <c r="N17" i="53"/>
  <c r="H17" i="53"/>
  <c r="G81" i="20" l="1"/>
  <c r="G76" i="20"/>
  <c r="G77" i="20"/>
  <c r="G78" i="20"/>
  <c r="G80" i="20"/>
  <c r="G79" i="20"/>
  <c r="G62" i="20"/>
  <c r="E67" i="20"/>
  <c r="G61" i="20"/>
  <c r="H65" i="20"/>
  <c r="H63" i="20"/>
  <c r="G63" i="20"/>
  <c r="C36" i="20"/>
  <c r="N67" i="19"/>
  <c r="G65" i="20"/>
  <c r="E49" i="20"/>
  <c r="I19" i="20" s="1"/>
  <c r="C67" i="20"/>
  <c r="E36" i="20"/>
  <c r="L137" i="19"/>
  <c r="H82" i="20"/>
  <c r="C51" i="20"/>
  <c r="H51" i="20"/>
  <c r="L143" i="19"/>
  <c r="C82" i="20"/>
  <c r="G82" i="20" s="1"/>
  <c r="E50" i="20"/>
  <c r="E48" i="20"/>
  <c r="C50" i="20"/>
  <c r="C48" i="20"/>
  <c r="C46" i="20"/>
  <c r="H46" i="20"/>
  <c r="E51" i="20"/>
  <c r="C49" i="20"/>
  <c r="H49" i="20"/>
  <c r="H80" i="20"/>
  <c r="H78" i="20"/>
  <c r="E47" i="20"/>
  <c r="G64" i="20"/>
  <c r="C31" i="20"/>
  <c r="N19" i="19"/>
  <c r="E35" i="20"/>
  <c r="E33" i="20"/>
  <c r="L119" i="19"/>
  <c r="E31" i="20"/>
  <c r="E37" i="20" s="1"/>
  <c r="L89" i="19"/>
  <c r="G66" i="20"/>
  <c r="C33" i="20"/>
  <c r="C35" i="20"/>
  <c r="N49" i="19"/>
  <c r="E32" i="20"/>
  <c r="L113" i="19"/>
  <c r="C34" i="20"/>
  <c r="N55" i="19"/>
  <c r="N73" i="19"/>
  <c r="C32" i="20"/>
  <c r="N43" i="19"/>
  <c r="C47" i="20"/>
  <c r="H47" i="20"/>
  <c r="H17" i="56"/>
  <c r="K87" i="56"/>
  <c r="G17" i="54"/>
  <c r="K87" i="54"/>
  <c r="G17" i="53"/>
  <c r="K87" i="53"/>
  <c r="H125" i="19"/>
  <c r="G67" i="20" l="1"/>
  <c r="E52" i="20"/>
  <c r="G50" i="20"/>
  <c r="G47" i="20"/>
  <c r="G48" i="20"/>
  <c r="G46" i="20"/>
  <c r="G49" i="20"/>
  <c r="C37" i="20"/>
  <c r="G37" i="20" s="1"/>
  <c r="I17" i="20"/>
  <c r="H32" i="20"/>
  <c r="H17" i="20"/>
  <c r="H50" i="20"/>
  <c r="H48" i="20"/>
  <c r="G34" i="20"/>
  <c r="G19" i="20"/>
  <c r="H37" i="20"/>
  <c r="G51" i="20"/>
  <c r="C52" i="20"/>
  <c r="I21" i="20"/>
  <c r="I16" i="20"/>
  <c r="G35" i="20"/>
  <c r="G20" i="20"/>
  <c r="H67" i="20"/>
  <c r="I20" i="20"/>
  <c r="I18" i="20"/>
  <c r="H36" i="20"/>
  <c r="H21" i="20"/>
  <c r="H31" i="20"/>
  <c r="H16" i="20"/>
  <c r="G36" i="20"/>
  <c r="G21" i="20"/>
  <c r="G31" i="20"/>
  <c r="G16" i="20"/>
  <c r="H52" i="20"/>
  <c r="H34" i="20"/>
  <c r="H19" i="20"/>
  <c r="G32" i="20"/>
  <c r="G17" i="20"/>
  <c r="G33" i="20"/>
  <c r="G18" i="20"/>
  <c r="J19" i="5"/>
  <c r="J18" i="5"/>
  <c r="J17" i="5"/>
  <c r="J16" i="5"/>
  <c r="G52" i="20" l="1"/>
  <c r="H33" i="20"/>
  <c r="H18" i="20"/>
  <c r="H35" i="20"/>
  <c r="H20" i="20"/>
  <c r="K14" i="5"/>
  <c r="J14" i="5"/>
  <c r="I14" i="5"/>
  <c r="H14" i="5"/>
  <c r="G14" i="5"/>
  <c r="F14" i="5"/>
  <c r="E14" i="5"/>
  <c r="G15" i="5" s="1"/>
  <c r="J15" i="5" l="1"/>
  <c r="K15" i="5"/>
  <c r="C8" i="20" l="1"/>
  <c r="B7" i="54"/>
  <c r="B7" i="53"/>
  <c r="B7" i="19"/>
  <c r="B7" i="56"/>
  <c r="B71" i="20" s="1"/>
  <c r="H24" i="24"/>
  <c r="G24" i="24"/>
  <c r="F24" i="24"/>
  <c r="E24" i="24"/>
  <c r="G75" i="20"/>
  <c r="H75" i="20"/>
  <c r="A3" i="56"/>
  <c r="A2" i="56"/>
  <c r="A1" i="56"/>
  <c r="I24" i="24" l="1"/>
  <c r="J24" i="24" s="1"/>
  <c r="K24" i="24" s="1"/>
  <c r="N19" i="5"/>
  <c r="B56" i="20" l="1"/>
  <c r="A3" i="54"/>
  <c r="A2" i="54"/>
  <c r="A1" i="54"/>
  <c r="B41" i="20"/>
  <c r="A3" i="53"/>
  <c r="A2" i="53"/>
  <c r="A1" i="53"/>
  <c r="G125" i="19"/>
  <c r="H17" i="19"/>
  <c r="N17" i="19" l="1"/>
  <c r="L87" i="19"/>
  <c r="K87" i="19"/>
  <c r="J87" i="19"/>
  <c r="G87" i="19"/>
  <c r="G17" i="19"/>
  <c r="A1" i="5"/>
  <c r="A1" i="24"/>
  <c r="J22" i="20" l="1"/>
  <c r="I22" i="20"/>
  <c r="A3" i="20"/>
  <c r="A2" i="20"/>
  <c r="A1" i="20"/>
  <c r="A3" i="19"/>
  <c r="A2" i="19"/>
  <c r="A1" i="19"/>
  <c r="H59" i="20" l="1"/>
  <c r="G59" i="20"/>
  <c r="F59" i="20"/>
  <c r="E59" i="20"/>
  <c r="D59" i="20"/>
  <c r="C59" i="20"/>
  <c r="H44" i="20"/>
  <c r="G44" i="20"/>
  <c r="F44" i="20"/>
  <c r="E44" i="20"/>
  <c r="D44" i="20"/>
  <c r="C44" i="20"/>
  <c r="G45" i="20" l="1"/>
  <c r="H45" i="20"/>
  <c r="H60" i="20"/>
  <c r="G60" i="20"/>
  <c r="C7" i="20" l="1"/>
  <c r="B12" i="20" s="1"/>
  <c r="B26" i="20"/>
  <c r="B20" i="5"/>
  <c r="C20" i="5" s="1"/>
  <c r="A20" i="5"/>
  <c r="B24" i="24"/>
  <c r="C24" i="24" s="1"/>
  <c r="A24" i="24"/>
  <c r="H29" i="20" l="1"/>
  <c r="G29" i="20"/>
  <c r="F29" i="20"/>
  <c r="E29" i="20"/>
  <c r="G30" i="20" s="1"/>
  <c r="D29" i="20"/>
  <c r="C29" i="20"/>
  <c r="L14" i="20"/>
  <c r="K14" i="20"/>
  <c r="J14" i="20"/>
  <c r="I14" i="20"/>
  <c r="H14" i="20"/>
  <c r="G14" i="20"/>
  <c r="F14" i="20"/>
  <c r="E14" i="20"/>
  <c r="D14" i="20"/>
  <c r="C14" i="20"/>
  <c r="C6" i="20"/>
  <c r="M15" i="5"/>
  <c r="R14" i="5"/>
  <c r="Q14" i="5"/>
  <c r="P14" i="5"/>
  <c r="O14" i="5"/>
  <c r="N14" i="5"/>
  <c r="M14" i="5"/>
  <c r="L14" i="5"/>
  <c r="A4" i="5"/>
  <c r="A3" i="5"/>
  <c r="A2" i="5"/>
  <c r="P18" i="24"/>
  <c r="O15" i="5" s="1"/>
  <c r="O18" i="24"/>
  <c r="N18" i="24"/>
  <c r="M18" i="24"/>
  <c r="L18" i="24"/>
  <c r="K18" i="24"/>
  <c r="J18" i="24"/>
  <c r="I18" i="24"/>
  <c r="H18" i="24"/>
  <c r="G18" i="24"/>
  <c r="F18" i="24"/>
  <c r="E18" i="24"/>
  <c r="G12" i="24"/>
  <c r="G11" i="24"/>
  <c r="G10" i="24"/>
  <c r="M19" i="24" l="1"/>
  <c r="O19" i="24"/>
  <c r="D15" i="20"/>
  <c r="F15" i="20"/>
  <c r="H30" i="20"/>
  <c r="J19" i="24"/>
  <c r="P15" i="5"/>
  <c r="R15" i="5"/>
  <c r="I19" i="24"/>
  <c r="O24" i="24"/>
  <c r="P19" i="24"/>
  <c r="N19" i="24"/>
  <c r="K19" i="24"/>
  <c r="L21" i="20"/>
  <c r="K15" i="20"/>
  <c r="L15" i="20"/>
  <c r="L19" i="20" l="1"/>
  <c r="L17" i="20"/>
  <c r="M24" i="24"/>
  <c r="N24" i="24"/>
  <c r="L16" i="20"/>
  <c r="L20" i="20"/>
  <c r="L18" i="20"/>
  <c r="H22" i="20" l="1"/>
  <c r="P24" i="24"/>
  <c r="O20" i="5" s="1"/>
  <c r="L22" i="20" l="1"/>
  <c r="G22" i="20"/>
  <c r="N18" i="5"/>
  <c r="N17" i="5"/>
  <c r="K19" i="20"/>
  <c r="K16" i="20"/>
  <c r="D16" i="20" s="1"/>
  <c r="K17" i="20"/>
  <c r="K18" i="20"/>
  <c r="D18" i="20" s="1"/>
  <c r="K21" i="20"/>
  <c r="K20" i="20"/>
  <c r="D20" i="20" s="1"/>
  <c r="D19" i="20" l="1"/>
  <c r="D21" i="20"/>
  <c r="D17" i="20"/>
  <c r="N16" i="5"/>
  <c r="K22" i="20"/>
  <c r="D22" i="20" s="1"/>
  <c r="N20" i="5" l="1"/>
  <c r="P20" i="5" s="1"/>
  <c r="R20" i="5" l="1"/>
  <c r="C9" i="20" s="1"/>
  <c r="E19" i="20" l="1"/>
  <c r="F19" i="20" s="1"/>
  <c r="E21" i="20"/>
  <c r="F21" i="20" s="1"/>
  <c r="E16" i="20"/>
  <c r="F16" i="20" s="1"/>
  <c r="E17" i="20"/>
  <c r="F17" i="20" s="1"/>
  <c r="E20" i="20"/>
  <c r="F20" i="20" s="1"/>
  <c r="E18" i="20"/>
  <c r="F18" i="20" s="1"/>
  <c r="E22" i="20"/>
  <c r="F22" i="20" s="1"/>
</calcChain>
</file>

<file path=xl/sharedStrings.xml><?xml version="1.0" encoding="utf-8"?>
<sst xmlns="http://schemas.openxmlformats.org/spreadsheetml/2006/main" count="861" uniqueCount="186">
  <si>
    <t>Productivity Factor 
(X Factor)</t>
  </si>
  <si>
    <t>Service 
Category</t>
  </si>
  <si>
    <t>Input</t>
  </si>
  <si>
    <t>Holding Company ID</t>
  </si>
  <si>
    <t>Holding Company Name</t>
  </si>
  <si>
    <t>Service Band</t>
  </si>
  <si>
    <t>Study Area ID</t>
  </si>
  <si>
    <t>Study Area Name</t>
  </si>
  <si>
    <t xml:space="preserve">    DS1</t>
  </si>
  <si>
    <t xml:space="preserve">    DS3</t>
  </si>
  <si>
    <t>Study Area Code:</t>
  </si>
  <si>
    <t>Study Area Name:</t>
  </si>
  <si>
    <t>Annual Revenues</t>
  </si>
  <si>
    <t>Recurring Charges</t>
  </si>
  <si>
    <t>Tariff Rate Element</t>
  </si>
  <si>
    <t>Non-recurring Charges</t>
  </si>
  <si>
    <t>Use Instructions</t>
  </si>
  <si>
    <t>File Includes the following tabs:</t>
  </si>
  <si>
    <t>Tariff Reference</t>
  </si>
  <si>
    <t>Holding Company Code:</t>
  </si>
  <si>
    <t>Holding Company Name:</t>
  </si>
  <si>
    <t xml:space="preserve">Comprised of Study Areas: </t>
  </si>
  <si>
    <t>At Proposed Rate</t>
  </si>
  <si>
    <t>Wideband Data and Wideband Analog Services</t>
  </si>
  <si>
    <t>Z</t>
  </si>
  <si>
    <t>Source</t>
  </si>
  <si>
    <t>GDP-PI Q4 2018</t>
  </si>
  <si>
    <t>VG</t>
  </si>
  <si>
    <t>WATS</t>
  </si>
  <si>
    <t>METAL</t>
  </si>
  <si>
    <t>** TELEGRAPH SPECIAL ACCESS SVCS **</t>
  </si>
  <si>
    <t>** METALLIC SPECIAL ACCESS SVCS**</t>
  </si>
  <si>
    <t>** WATS SPECIAL ACCESS SVCS**</t>
  </si>
  <si>
    <t>** VOICE GRADE SPECIAL ACCESS SVCS **</t>
  </si>
  <si>
    <t>** AUDIO AND VIDEO SERVICES **</t>
  </si>
  <si>
    <t>AV</t>
  </si>
  <si>
    <t>** DS1 SPECIAL ACCESS SERVICES **</t>
  </si>
  <si>
    <t>DS1</t>
  </si>
  <si>
    <t>** DS3 SPECIAL ACCESS SERVICES **</t>
  </si>
  <si>
    <t>DS3</t>
  </si>
  <si>
    <t>Audio and Video Services</t>
  </si>
  <si>
    <t>** DDS Services **</t>
  </si>
  <si>
    <t>DDS</t>
  </si>
  <si>
    <t>** WIDEBAND DATA AND WIDEBAND ANALOG SVCS **</t>
  </si>
  <si>
    <t>WIDE</t>
  </si>
  <si>
    <t>TGR</t>
  </si>
  <si>
    <t>High Capacity (DS1 and DS3) + DDS</t>
  </si>
  <si>
    <t>FCC 61.45(b)(1)(iv)</t>
  </si>
  <si>
    <t>Aggregate Sum of Recurring Charges at Adjusted January 2019 Tariffed Rate For All Study Areas</t>
  </si>
  <si>
    <t>Aggregate Sum of Recurring Charges at Proposed July 2019 Tariffed Rate  For All Study Areas</t>
  </si>
  <si>
    <t>Aggregate Sum of Non-recurring Charges at Adjusted January 2019 Tariffed Rate For All Study Areas</t>
  </si>
  <si>
    <t>Aggregate Sum of Non-recurring Charges at Proposed July 2019 Tariffed Rate For All Study Areas</t>
  </si>
  <si>
    <t>** MISCELLANEOUS CHARGES **
(Access ordering, additional labor, etc.)</t>
  </si>
  <si>
    <t>MISC</t>
  </si>
  <si>
    <t>Annual Recurring Revenue</t>
  </si>
  <si>
    <t>Annual Non-recurring Revenue</t>
  </si>
  <si>
    <t>https://apps.bea.gov/iTable/iTable.cfm?reqid=19&amp;step=2</t>
  </si>
  <si>
    <t>Reg Fee</t>
  </si>
  <si>
    <t>TRS Fee</t>
  </si>
  <si>
    <t>NANPA Fee</t>
  </si>
  <si>
    <t>Incremental Exogenous Costs - BDS Non Competitive Services</t>
  </si>
  <si>
    <t>Incremental Fee Per $ Revenue</t>
  </si>
  <si>
    <t>Voice Grade, WATS, Metallic and Telegraph Special Access Services</t>
  </si>
  <si>
    <t>Percent Rate Change
from Current Rate to Proposed Rate</t>
  </si>
  <si>
    <t>Percent Change in GDP-PI
(GDP-PI)</t>
  </si>
  <si>
    <t>Ratio of the Sum of Annual Revenues Plus Exogenous Cost Changes to Annual Revenues 
(w)</t>
  </si>
  <si>
    <t>Total Annual Revenue</t>
  </si>
  <si>
    <t>Incremental Exogenous Costs for BDS Services
(Z)</t>
  </si>
  <si>
    <t>Average Monthly Revenue</t>
  </si>
  <si>
    <t>Sum of Recurring Charges at Adjusted Current Rates X 12</t>
  </si>
  <si>
    <t>Sum of Recurring Charges at Proposed  Rates X 12</t>
  </si>
  <si>
    <t>Sum of Non-recurring Charges at Adjusted Current Rates</t>
  </si>
  <si>
    <t>Individual Study Area Dashboards on Holding Co TRP Tab</t>
  </si>
  <si>
    <t>Line No.</t>
  </si>
  <si>
    <t>Total (Lines 1, 2, 5, 6 and Non-recurring Miscellaneous Charges)</t>
  </si>
  <si>
    <t>Exogenous Costs</t>
  </si>
  <si>
    <t>Factor Dev(elopment)</t>
  </si>
  <si>
    <t>Sum of Non-recurring Charges at Proposed Rates</t>
  </si>
  <si>
    <t>Total (Lines 1, 2, 5, 6 and Miscellaneous Charges)</t>
  </si>
  <si>
    <t>Contribution Factor Embedded in Existing Rates</t>
  </si>
  <si>
    <t>Factor</t>
  </si>
  <si>
    <t>Source FCC Order</t>
  </si>
  <si>
    <t>Reg Fee Factor:</t>
  </si>
  <si>
    <t>TRS Factor:</t>
  </si>
  <si>
    <t>NANPA Factor:</t>
  </si>
  <si>
    <t xml:space="preserve">Enter data in cells marked 'Input'.  Output fields yield values based on formulas and input data. </t>
  </si>
  <si>
    <t xml:space="preserve"> </t>
  </si>
  <si>
    <t xml:space="preserve">revise the relevant column headings to reflect these other term lengths, and revise the relevant formulas to reflect these other discounts to calculate </t>
  </si>
  <si>
    <t>the revenues for these plans.</t>
  </si>
  <si>
    <t xml:space="preserve">The individual study area TRP is for carriers that establish PCIs, APIs, SBIs, and upper SBI limits at the study area level.  </t>
  </si>
  <si>
    <t>Holding Company Level Proposed PCI:</t>
  </si>
  <si>
    <t>Proposed Service Band Index 
(for Service Bands)
 or
Proposed Actual Price Index
 (for Total Basket)</t>
  </si>
  <si>
    <t>SBI Upper Limit (for Service Bands) 
or 
Proposed PCI (for Total Basket)</t>
  </si>
  <si>
    <t>Pass if Proposed SBI Less Than or Equal to SBI Limit, or if Proposed API Less Than or Equal To Proposed PCI</t>
  </si>
  <si>
    <r>
      <t>= SBI</t>
    </r>
    <r>
      <rPr>
        <b/>
        <vertAlign val="subscript"/>
        <sz val="11"/>
        <rFont val="Calibri"/>
        <family val="2"/>
        <scheme val="minor"/>
      </rPr>
      <t>1/1/19</t>
    </r>
    <r>
      <rPr>
        <b/>
        <sz val="11"/>
        <rFont val="Calibri"/>
        <family val="2"/>
        <scheme val="minor"/>
      </rPr>
      <t xml:space="preserve"> x (Proposed PCI/PCI</t>
    </r>
    <r>
      <rPr>
        <b/>
        <vertAlign val="subscript"/>
        <sz val="11"/>
        <rFont val="Calibri"/>
        <family val="2"/>
        <scheme val="minor"/>
      </rPr>
      <t>1/1/19</t>
    </r>
    <r>
      <rPr>
        <b/>
        <sz val="11"/>
        <rFont val="Calibri"/>
        <family val="2"/>
        <scheme val="minor"/>
      </rPr>
      <t>) x 1.05 (for Service Bands) or
= Proposed PCI (for Total Basket)</t>
    </r>
  </si>
  <si>
    <t>study area TRP tab.</t>
  </si>
  <si>
    <t>highlight that study area's data in the dashboard on the Holding Co TRP tab, press delete to clear the illustrative data, and then delete that entire</t>
  </si>
  <si>
    <t xml:space="preserve">Enter average monthly demand for monthly recurring rate elements over the entire base period and annual demand for non-recurring rate elements for </t>
  </si>
  <si>
    <t xml:space="preserve">the base period in the study area worksheets to calculate the revenues used in the price cap formulas.  These worksheets multiply monthly revenues  </t>
  </si>
  <si>
    <t>derived from monthly recurring rates and average monthly demand by 12 to obtain annual revenues.</t>
  </si>
  <si>
    <t xml:space="preserve">The term discount plans in the study area worksheets are examples.  If a carrier offers discount plans with other term lengths and/or discounts, </t>
  </si>
  <si>
    <r>
      <t>Carriers shall reflect any exogenous cost adjustment for TRS in the TRP for the annual filing if the final contribution factor is known by May 1.</t>
    </r>
    <r>
      <rPr>
        <sz val="1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Otherwise, they </t>
    </r>
  </si>
  <si>
    <t xml:space="preserve">shall reflect this exogenous cost change in rates to become effective October 1.  In the latter case, the exogenous cost adjustment for TRS shall be “grossed up” </t>
  </si>
  <si>
    <t xml:space="preserve">to spread the entire adjustment over the remaining months in the tariff year.  The exogenous cost adjustments for NANPA and regulatory fees shall be </t>
  </si>
  <si>
    <t>reflected in rates that take effect October 1, reflecting that these fees are obligations covering a fiscal year that begins October 1.</t>
  </si>
  <si>
    <t>Current entries are illustrative.  Use actual data and modify spacing as needed.  If there are fewer than four study areas in a holding company, first</t>
  </si>
  <si>
    <t xml:space="preserve">Existing Factor Value </t>
  </si>
  <si>
    <t>Input from 2020 FCC Form 499A</t>
  </si>
  <si>
    <t>GDP-PI Q4 2019</t>
  </si>
  <si>
    <t>Average Monthly Demand Over Base Period (Calendar Year 2019)</t>
  </si>
  <si>
    <t>EXAMPLE TERM DISCOUNT PLAN
Average Monthly Demand Over Base Period (Calendar Year 2019) In a 
5-YR Term Plan Demand
(20% Discount)</t>
  </si>
  <si>
    <t>EXAMPLE TERM DISCOUNT PLAN
Average Monthly Demand Over Base Period (Calendar Year 2019) In a 
3-YR Term Plan Demand
(10% Discount)</t>
  </si>
  <si>
    <t xml:space="preserve">Enter rates as of January 1, 2020 in the relevant cells in the study area worksheet.  This worksheet adjusts these rates by applying the category </t>
  </si>
  <si>
    <t xml:space="preserve">relationships unfreeze and net contributor/net recipient factors, as applicable.  Only carriers in NECA's Traffic Sensitive pool in TP1920 have a net </t>
  </si>
  <si>
    <t xml:space="preserve">contributor/net recipient factor.  Other carriers enter 1.0000 as the net contributor/net recipient factor in the relevant cell of this worksheet.  Carriers  </t>
  </si>
  <si>
    <r>
      <t xml:space="preserve">that did not unfreeze their category relationships </t>
    </r>
    <r>
      <rPr>
        <sz val="11"/>
        <rFont val="Calibri"/>
        <family val="2"/>
        <scheme val="minor"/>
      </rPr>
      <t>enter</t>
    </r>
    <r>
      <rPr>
        <sz val="11"/>
        <color indexed="8"/>
        <rFont val="Calibri"/>
        <family val="2"/>
        <scheme val="minor"/>
      </rPr>
      <t xml:space="preserve"> 1.0000 as the category relationships unfreeze factor in the relevant cell in this worksheet.</t>
    </r>
  </si>
  <si>
    <t>Holding Company TRP</t>
  </si>
  <si>
    <t>000000000</t>
  </si>
  <si>
    <t>222222</t>
  </si>
  <si>
    <t>BDS HoldCo EC1</t>
  </si>
  <si>
    <t>BDS HoldCo EC2</t>
  </si>
  <si>
    <t>BDS HoldCo EC3</t>
  </si>
  <si>
    <t>BDS HoldCo EC4</t>
  </si>
  <si>
    <t>Carriers that did not unfreeze their category relationships enter 1.0000 as the category relationships unfreeze factor in Col 15.</t>
  </si>
  <si>
    <t>NECA pool members enter settlements and revenue data in Col 16 and Col 17.
Other carriers enter 1.0000 for the Net Contributor/Net Recipient Factor in Col 19.</t>
  </si>
  <si>
    <t>BDS Costs from Unfrozen 2019 Cost Study</t>
  </si>
  <si>
    <t>BDS costs from Original (Frozen) 2019 Cost Study</t>
  </si>
  <si>
    <t>Category Relationships Unfreeze Factor</t>
  </si>
  <si>
    <t>Interstate Special Access Settlements @10.25%
7/1/19 - 12/31/19</t>
  </si>
  <si>
    <t xml:space="preserve">Pooled Special Access Revenues 7/1/19 - 12/31/19 </t>
  </si>
  <si>
    <t>Difference Revenue 
- Settlements</t>
  </si>
  <si>
    <t>Net Contributor / Net Recipient Factor</t>
  </si>
  <si>
    <r>
      <t>Jan. 1, 2020 PCI
(PCI</t>
    </r>
    <r>
      <rPr>
        <b/>
        <vertAlign val="subscript"/>
        <sz val="11"/>
        <color theme="1"/>
        <rFont val="Calibri"/>
        <family val="2"/>
        <scheme val="minor"/>
      </rPr>
      <t>1/1/20</t>
    </r>
    <r>
      <rPr>
        <b/>
        <sz val="11"/>
        <color theme="1"/>
        <rFont val="Calibri"/>
        <family val="2"/>
        <scheme val="minor"/>
      </rPr>
      <t>)</t>
    </r>
  </si>
  <si>
    <t>Study Area Proposed PCI</t>
  </si>
  <si>
    <t>January 2020 Tariffed Rate (Current Rate)</t>
  </si>
  <si>
    <t>Adjusted January 2020 Tariffed Rate (Adjusted Current Rate)</t>
  </si>
  <si>
    <t>Proposed July 2020 Tariff Rate (Proposed Rate)</t>
  </si>
  <si>
    <t>Percent Rate Change
from Adjusted Current Rate to Proposed Rate</t>
  </si>
  <si>
    <t>At Adjusted Current Rate</t>
  </si>
  <si>
    <t xml:space="preserve">Difference Proposed - Adjusted Current </t>
  </si>
  <si>
    <t>January 2020  Tariffed Rate (Current Rate)</t>
  </si>
  <si>
    <t>Cumulative Demand Over Base Period (Calendar Year 2019)</t>
  </si>
  <si>
    <t>Difference Proposed - Adjusted Current</t>
  </si>
  <si>
    <r>
      <t>Jan. 1, 2020 Service Band Index
(SBI</t>
    </r>
    <r>
      <rPr>
        <b/>
        <vertAlign val="subscript"/>
        <sz val="11"/>
        <color theme="1"/>
        <rFont val="Calibri"/>
        <family val="2"/>
        <scheme val="minor"/>
      </rPr>
      <t xml:space="preserve">1/1/20 </t>
    </r>
    <r>
      <rPr>
        <b/>
        <sz val="11"/>
        <color theme="1"/>
        <rFont val="Calibri"/>
        <family val="2"/>
        <scheme val="minor"/>
      </rPr>
      <t>for Service Bands) or Jan. 1, 2020 Actual Price Index (API</t>
    </r>
    <r>
      <rPr>
        <b/>
        <vertAlign val="subscript"/>
        <sz val="11"/>
        <color theme="1"/>
        <rFont val="Calibri"/>
        <family val="2"/>
        <scheme val="minor"/>
      </rPr>
      <t>1/1/20</t>
    </r>
    <r>
      <rPr>
        <b/>
        <sz val="11"/>
        <color theme="1"/>
        <rFont val="Calibri"/>
        <family val="2"/>
        <scheme val="minor"/>
      </rPr>
      <t xml:space="preserve"> for Total Basket)</t>
    </r>
  </si>
  <si>
    <t xml:space="preserve">At Adjusted Current Rates </t>
  </si>
  <si>
    <t>At Proposed Rates</t>
  </si>
  <si>
    <t>222223</t>
  </si>
  <si>
    <t>222224</t>
  </si>
  <si>
    <t>222225</t>
  </si>
  <si>
    <t>222222 TRP</t>
  </si>
  <si>
    <t>222223 TRP</t>
  </si>
  <si>
    <t>222224 TRP</t>
  </si>
  <si>
    <t>222225 TRP</t>
  </si>
  <si>
    <t>Category Relationship Unfreeze Factor:</t>
  </si>
  <si>
    <t>Net Contributor or Net Recipient Factor:</t>
  </si>
  <si>
    <t>222222222</t>
  </si>
  <si>
    <t xml:space="preserve">This BDS TRP is for carriers that establish a PCI, API, SBIs, and upper SBI limits at the holding company level and have elected BDS incentive regulation as of July 1, 2020.  </t>
  </si>
  <si>
    <t>End User Interstate Surcharge for State or Federal Universal Service Contributions
Line 403d</t>
  </si>
  <si>
    <t>End User Interstate Local Private Line and Business Data Services 
("Special Access")
Line 406d</t>
  </si>
  <si>
    <t>End User Interstate Gross Revenues
Line 420d</t>
  </si>
  <si>
    <t>End User Total Gross Revenues 
Line 420a</t>
  </si>
  <si>
    <t>End User Interstate Surcharge Factor</t>
  </si>
  <si>
    <t>End User Total Special Access Revenues Including Interstate Surcharge</t>
  </si>
  <si>
    <t>End User Total Special Access Portion of End User Interstate Gross Revenues on FCC Form 499A</t>
  </si>
  <si>
    <t>End User Revenues from BDS Ex Ante Rate Elements / End User Total Special Access Revenues (including DSL and ETS) from 2019</t>
  </si>
  <si>
    <t>Sum of Study Area(s) 2019 Annual Recurring and Non-Recurring Revenues at Adjusted Current Rates 
(R)</t>
  </si>
  <si>
    <t>Table 1.1.4. Price Indexes for Gross Domestic Product (updated 3/26/20)</t>
  </si>
  <si>
    <r>
      <t xml:space="preserve">Holding Company PCI </t>
    </r>
    <r>
      <rPr>
        <b/>
        <vertAlign val="subscript"/>
        <sz val="11"/>
        <rFont val="Calibri"/>
        <family val="2"/>
        <scheme val="minor"/>
      </rPr>
      <t>1/1/20</t>
    </r>
  </si>
  <si>
    <t>Filing Date:  06/16/20</t>
  </si>
  <si>
    <t xml:space="preserve">Filing Entity:  </t>
  </si>
  <si>
    <t xml:space="preserve">Transmittal Number:  </t>
  </si>
  <si>
    <t>Example</t>
  </si>
  <si>
    <t>Example Voice Grade Service</t>
  </si>
  <si>
    <t>Example WATS Special Access Svcs</t>
  </si>
  <si>
    <t>Example Metallic Special Access Svcs</t>
  </si>
  <si>
    <t>Example Telegraph Special Access Svcs</t>
  </si>
  <si>
    <t>Example Audio and Video Services</t>
  </si>
  <si>
    <t>Example DS1 Special Access Services</t>
  </si>
  <si>
    <t>Example DS3 Special Access Services</t>
  </si>
  <si>
    <t>Example DDS Services</t>
  </si>
  <si>
    <t>Example Wideband Data and Wideband Analog Svcs</t>
  </si>
  <si>
    <t>Example Miscellaneous Charges</t>
  </si>
  <si>
    <t>Example Voice Grade Special Access Svcs</t>
  </si>
  <si>
    <t>Example DS1 Special Access Svcs</t>
  </si>
  <si>
    <t>Example DS3 Special Access Svcs</t>
  </si>
  <si>
    <t>Contribution Factors for Test Period Rates (enter new factor for TRS if new factor is available by May 1, otherwise enter current factor).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</si>
</sst>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;@"/>
    <numFmt numFmtId="166" formatCode="&quot;$&quot;#,##0.00"/>
    <numFmt numFmtId="167" formatCode="#,##0.0"/>
    <numFmt numFmtId="168" formatCode="0.00000"/>
    <numFmt numFmtId="169" formatCode="0.000"/>
    <numFmt numFmtId="170" formatCode="0.0000000"/>
    <numFmt numFmtId="171" formatCode="0.0000"/>
    <numFmt numFmtId="172" formatCode="0.0000%"/>
    <numFmt numFmtId="173" formatCode="#,##0.0000"/>
    <numFmt numFmtId="174" formatCode="0.000000"/>
    <numFmt numFmtId="175" formatCode="&quot;$&quot;#,##0.000000"/>
    <numFmt numFmtId="176" formatCode="0.00000%"/>
  </numFmts>
  <fonts count="2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9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</cellStyleXfs>
  <cellXfs count="372">
    <xf numFmtId="0" fontId="0" fillId="0" borderId="0" xfId="0"/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 wrapText="1"/>
    </xf>
    <xf numFmtId="0" fontId="8" fillId="0" borderId="0" xfId="0" applyFont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9" fillId="0" borderId="0" xfId="0" applyFont="1"/>
    <xf numFmtId="0" fontId="4" fillId="0" borderId="1" xfId="0" applyFont="1" applyBorder="1"/>
    <xf numFmtId="0" fontId="4" fillId="0" borderId="4" xfId="0" applyFont="1" applyBorder="1"/>
    <xf numFmtId="0" fontId="4" fillId="0" borderId="5" xfId="0" applyFont="1" applyBorder="1"/>
    <xf numFmtId="166" fontId="4" fillId="2" borderId="7" xfId="0" applyNumberFormat="1" applyFont="1" applyFill="1" applyBorder="1" applyAlignment="1">
      <alignment horizontal="right" indent="1"/>
    </xf>
    <xf numFmtId="166" fontId="4" fillId="2" borderId="8" xfId="0" applyNumberFormat="1" applyFont="1" applyFill="1" applyBorder="1" applyAlignment="1">
      <alignment horizontal="right" indent="1"/>
    </xf>
    <xf numFmtId="0" fontId="9" fillId="0" borderId="0" xfId="0" applyFont="1" applyBorder="1"/>
    <xf numFmtId="0" fontId="10" fillId="0" borderId="0" xfId="0" applyNumberFormat="1" applyFont="1" applyFill="1" applyAlignment="1">
      <alignment vertic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5" fillId="0" borderId="0" xfId="0" applyFont="1"/>
    <xf numFmtId="0" fontId="11" fillId="0" borderId="0" xfId="0" applyFont="1"/>
    <xf numFmtId="0" fontId="1" fillId="0" borderId="0" xfId="8" applyFill="1"/>
    <xf numFmtId="0" fontId="3" fillId="0" borderId="0" xfId="0" applyFont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 indent="1"/>
    </xf>
    <xf numFmtId="0" fontId="4" fillId="0" borderId="0" xfId="0" applyFont="1"/>
    <xf numFmtId="0" fontId="9" fillId="0" borderId="0" xfId="0" applyFont="1" applyAlignment="1">
      <alignment horizontal="center"/>
    </xf>
    <xf numFmtId="0" fontId="0" fillId="0" borderId="11" xfId="0" applyBorder="1"/>
    <xf numFmtId="2" fontId="0" fillId="0" borderId="0" xfId="0" applyNumberFormat="1" applyBorder="1"/>
    <xf numFmtId="166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wrapText="1"/>
    </xf>
    <xf numFmtId="3" fontId="6" fillId="0" borderId="0" xfId="0" applyNumberFormat="1" applyFont="1" applyFill="1"/>
    <xf numFmtId="1" fontId="6" fillId="0" borderId="0" xfId="0" applyNumberFormat="1" applyFont="1" applyFill="1"/>
    <xf numFmtId="0" fontId="6" fillId="0" borderId="0" xfId="0" applyFont="1"/>
    <xf numFmtId="0" fontId="7" fillId="0" borderId="0" xfId="0" applyFont="1" applyBorder="1" applyAlignment="1">
      <alignment horizontal="left" wrapText="1"/>
    </xf>
    <xf numFmtId="168" fontId="13" fillId="0" borderId="0" xfId="1" applyNumberFormat="1" applyFont="1" applyFill="1" applyBorder="1" applyAlignment="1">
      <alignment horizontal="left"/>
    </xf>
    <xf numFmtId="0" fontId="7" fillId="0" borderId="0" xfId="0" applyFont="1"/>
    <xf numFmtId="0" fontId="12" fillId="0" borderId="0" xfId="0" applyFont="1"/>
    <xf numFmtId="0" fontId="0" fillId="0" borderId="0" xfId="0" applyFont="1"/>
    <xf numFmtId="0" fontId="5" fillId="0" borderId="14" xfId="0" applyFont="1" applyBorder="1"/>
    <xf numFmtId="0" fontId="6" fillId="0" borderId="0" xfId="0" quotePrefix="1" applyFont="1" applyBorder="1"/>
    <xf numFmtId="171" fontId="6" fillId="0" borderId="0" xfId="0" applyNumberFormat="1" applyFont="1" applyFill="1" applyAlignment="1">
      <alignment horizontal="right"/>
    </xf>
    <xf numFmtId="0" fontId="4" fillId="0" borderId="17" xfId="0" applyFont="1" applyBorder="1" applyAlignment="1">
      <alignment horizontal="center"/>
    </xf>
    <xf numFmtId="0" fontId="0" fillId="0" borderId="0" xfId="0" quotePrefix="1"/>
    <xf numFmtId="0" fontId="4" fillId="0" borderId="0" xfId="0" applyFont="1" applyAlignment="1">
      <alignment horizontal="left"/>
    </xf>
    <xf numFmtId="166" fontId="6" fillId="0" borderId="0" xfId="0" applyNumberFormat="1" applyFont="1" applyFill="1" applyAlignment="1">
      <alignment horizontal="left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175" fontId="0" fillId="0" borderId="18" xfId="0" applyNumberFormat="1" applyBorder="1"/>
    <xf numFmtId="175" fontId="0" fillId="0" borderId="19" xfId="0" applyNumberFormat="1" applyBorder="1"/>
    <xf numFmtId="0" fontId="4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11" fillId="0" borderId="0" xfId="8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quotePrefix="1" applyFont="1" applyBorder="1" applyAlignment="1">
      <alignment horizontal="center" wrapText="1"/>
    </xf>
    <xf numFmtId="0" fontId="4" fillId="0" borderId="5" xfId="0" quotePrefix="1" applyFont="1" applyBorder="1" applyAlignment="1">
      <alignment horizontal="center" wrapText="1"/>
    </xf>
    <xf numFmtId="0" fontId="0" fillId="0" borderId="4" xfId="0" applyFont="1" applyBorder="1"/>
    <xf numFmtId="171" fontId="7" fillId="0" borderId="0" xfId="1" applyNumberFormat="1" applyFon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 indent="1"/>
    </xf>
    <xf numFmtId="166" fontId="0" fillId="0" borderId="4" xfId="0" applyNumberFormat="1" applyFont="1" applyBorder="1" applyAlignment="1">
      <alignment horizontal="right" indent="1"/>
    </xf>
    <xf numFmtId="166" fontId="0" fillId="0" borderId="5" xfId="0" applyNumberFormat="1" applyFont="1" applyBorder="1" applyAlignment="1">
      <alignment horizontal="right" indent="1"/>
    </xf>
    <xf numFmtId="0" fontId="16" fillId="0" borderId="0" xfId="0" applyFont="1" applyFill="1" applyBorder="1" applyAlignment="1">
      <alignment vertical="center"/>
    </xf>
    <xf numFmtId="167" fontId="14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11" fillId="0" borderId="20" xfId="0" applyFont="1" applyBorder="1"/>
    <xf numFmtId="0" fontId="4" fillId="0" borderId="0" xfId="0" applyFont="1" applyBorder="1"/>
    <xf numFmtId="166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6" fillId="0" borderId="0" xfId="0" applyFont="1" applyBorder="1" applyAlignment="1">
      <alignment horizontal="center" wrapText="1"/>
    </xf>
    <xf numFmtId="166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/>
    <xf numFmtId="0" fontId="7" fillId="0" borderId="0" xfId="0" applyFont="1" applyBorder="1" applyAlignment="1"/>
    <xf numFmtId="166" fontId="7" fillId="0" borderId="1" xfId="0" applyNumberFormat="1" applyFont="1" applyFill="1" applyBorder="1" applyAlignment="1">
      <alignment horizontal="center" wrapText="1"/>
    </xf>
    <xf numFmtId="165" fontId="13" fillId="0" borderId="1" xfId="0" applyNumberFormat="1" applyFont="1" applyFill="1" applyBorder="1" applyAlignment="1">
      <alignment horizontal="center" wrapText="1"/>
    </xf>
    <xf numFmtId="166" fontId="13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3" fontId="13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168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6" fontId="18" fillId="0" borderId="1" xfId="0" applyNumberFormat="1" applyFont="1" applyFill="1" applyBorder="1" applyAlignment="1">
      <alignment horizontal="right" wrapText="1"/>
    </xf>
    <xf numFmtId="164" fontId="18" fillId="0" borderId="1" xfId="1" applyNumberFormat="1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horizontal="right" wrapText="1"/>
    </xf>
    <xf numFmtId="166" fontId="18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top"/>
    </xf>
    <xf numFmtId="166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wrapText="1"/>
    </xf>
    <xf numFmtId="165" fontId="7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9" fontId="7" fillId="0" borderId="1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/>
    <xf numFmtId="0" fontId="0" fillId="0" borderId="23" xfId="0" applyBorder="1"/>
    <xf numFmtId="0" fontId="4" fillId="0" borderId="18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8" xfId="0" quotePrefix="1" applyFont="1" applyBorder="1" applyAlignment="1">
      <alignment horizontal="center" wrapText="1"/>
    </xf>
    <xf numFmtId="0" fontId="0" fillId="0" borderId="0" xfId="0" applyFill="1"/>
    <xf numFmtId="166" fontId="0" fillId="3" borderId="1" xfId="0" applyNumberFormat="1" applyFont="1" applyFill="1" applyBorder="1" applyAlignment="1">
      <alignment horizontal="right" wrapText="1"/>
    </xf>
    <xf numFmtId="171" fontId="0" fillId="3" borderId="1" xfId="0" applyNumberFormat="1" applyFont="1" applyFill="1" applyBorder="1" applyAlignment="1">
      <alignment horizontal="right" wrapText="1"/>
    </xf>
    <xf numFmtId="0" fontId="0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1" fillId="0" borderId="0" xfId="0" applyFont="1" applyBorder="1"/>
    <xf numFmtId="0" fontId="0" fillId="0" borderId="4" xfId="0" applyFont="1" applyBorder="1" applyAlignment="1">
      <alignment wrapText="1"/>
    </xf>
    <xf numFmtId="0" fontId="6" fillId="0" borderId="0" xfId="0" quotePrefix="1" applyNumberFormat="1" applyFont="1" applyFill="1" applyAlignment="1">
      <alignment horizontal="left"/>
    </xf>
    <xf numFmtId="0" fontId="4" fillId="0" borderId="25" xfId="0" applyFont="1" applyFill="1" applyBorder="1" applyAlignment="1">
      <alignment horizontal="center" wrapText="1"/>
    </xf>
    <xf numFmtId="174" fontId="0" fillId="3" borderId="1" xfId="0" applyNumberFormat="1" applyFont="1" applyFill="1" applyBorder="1" applyAlignment="1">
      <alignment horizontal="right"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6" fontId="0" fillId="4" borderId="7" xfId="0" applyNumberFormat="1" applyFont="1" applyFill="1" applyBorder="1" applyAlignment="1">
      <alignment horizontal="right" wrapText="1"/>
    </xf>
    <xf numFmtId="166" fontId="0" fillId="4" borderId="21" xfId="0" applyNumberFormat="1" applyFont="1" applyFill="1" applyBorder="1" applyAlignment="1">
      <alignment horizontal="right" wrapText="1"/>
    </xf>
    <xf numFmtId="166" fontId="0" fillId="4" borderId="8" xfId="0" applyNumberFormat="1" applyFont="1" applyFill="1" applyBorder="1" applyAlignment="1">
      <alignment horizontal="right" wrapText="1"/>
    </xf>
    <xf numFmtId="174" fontId="0" fillId="4" borderId="7" xfId="0" applyNumberFormat="1" applyFont="1" applyFill="1" applyBorder="1" applyAlignment="1">
      <alignment horizontal="right" wrapText="1"/>
    </xf>
    <xf numFmtId="174" fontId="0" fillId="4" borderId="8" xfId="0" applyNumberFormat="1" applyFont="1" applyFill="1" applyBorder="1" applyAlignment="1">
      <alignment horizontal="right" wrapText="1"/>
    </xf>
    <xf numFmtId="166" fontId="0" fillId="4" borderId="19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166" fontId="0" fillId="3" borderId="4" xfId="0" applyNumberFormat="1" applyFont="1" applyFill="1" applyBorder="1" applyAlignment="1">
      <alignment horizontal="right" wrapText="1"/>
    </xf>
    <xf numFmtId="173" fontId="6" fillId="3" borderId="5" xfId="0" applyNumberFormat="1" applyFont="1" applyFill="1" applyBorder="1" applyAlignment="1">
      <alignment horizontal="right" wrapText="1"/>
    </xf>
    <xf numFmtId="172" fontId="6" fillId="4" borderId="7" xfId="0" applyNumberFormat="1" applyFont="1" applyFill="1" applyBorder="1" applyAlignment="1">
      <alignment horizontal="right" wrapText="1"/>
    </xf>
    <xf numFmtId="172" fontId="0" fillId="4" borderId="21" xfId="1" applyNumberFormat="1" applyFont="1" applyFill="1" applyBorder="1" applyAlignment="1">
      <alignment horizontal="right" wrapText="1"/>
    </xf>
    <xf numFmtId="166" fontId="0" fillId="4" borderId="21" xfId="0" applyNumberFormat="1" applyFont="1" applyFill="1" applyBorder="1" applyAlignment="1">
      <alignment horizontal="right" wrapText="1" indent="1"/>
    </xf>
    <xf numFmtId="171" fontId="0" fillId="4" borderId="21" xfId="0" applyNumberFormat="1" applyFill="1" applyBorder="1"/>
    <xf numFmtId="171" fontId="0" fillId="4" borderId="21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171" fontId="6" fillId="0" borderId="0" xfId="0" applyNumberFormat="1" applyFont="1" applyAlignment="1">
      <alignment wrapText="1"/>
    </xf>
    <xf numFmtId="0" fontId="8" fillId="0" borderId="0" xfId="0" applyNumberFormat="1" applyFont="1" applyAlignment="1">
      <alignment horizontal="left"/>
    </xf>
    <xf numFmtId="0" fontId="18" fillId="0" borderId="0" xfId="0" applyNumberFormat="1" applyFont="1" applyFill="1" applyAlignment="1">
      <alignment vertical="center"/>
    </xf>
    <xf numFmtId="0" fontId="4" fillId="0" borderId="23" xfId="0" applyFont="1" applyBorder="1" applyAlignment="1">
      <alignment wrapText="1"/>
    </xf>
    <xf numFmtId="174" fontId="0" fillId="4" borderId="19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166" fontId="18" fillId="0" borderId="0" xfId="0" applyNumberFormat="1" applyFont="1" applyFill="1" applyBorder="1" applyAlignment="1">
      <alignment horizontal="right" wrapText="1"/>
    </xf>
    <xf numFmtId="164" fontId="18" fillId="0" borderId="0" xfId="1" applyNumberFormat="1" applyFont="1" applyFill="1" applyBorder="1" applyAlignment="1">
      <alignment horizontal="right" wrapText="1"/>
    </xf>
    <xf numFmtId="3" fontId="18" fillId="0" borderId="0" xfId="0" applyNumberFormat="1" applyFont="1" applyFill="1" applyBorder="1" applyAlignment="1">
      <alignment horizontal="right" wrapText="1"/>
    </xf>
    <xf numFmtId="166" fontId="6" fillId="0" borderId="0" xfId="0" applyNumberFormat="1" applyFont="1" applyFill="1" applyBorder="1" applyAlignment="1">
      <alignment horizontal="right" wrapText="1"/>
    </xf>
    <xf numFmtId="0" fontId="7" fillId="0" borderId="27" xfId="0" applyFont="1" applyBorder="1" applyAlignment="1">
      <alignment horizontal="center"/>
    </xf>
    <xf numFmtId="0" fontId="6" fillId="0" borderId="23" xfId="0" applyFont="1" applyBorder="1"/>
    <xf numFmtId="0" fontId="4" fillId="0" borderId="0" xfId="0" applyFont="1" applyFill="1" applyBorder="1"/>
    <xf numFmtId="171" fontId="0" fillId="0" borderId="0" xfId="1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center"/>
    </xf>
    <xf numFmtId="0" fontId="20" fillId="0" borderId="0" xfId="0" applyNumberFormat="1" applyFont="1" applyFill="1" applyAlignment="1">
      <alignment vertical="center" wrapText="1"/>
    </xf>
    <xf numFmtId="0" fontId="7" fillId="0" borderId="0" xfId="8" applyFont="1" applyFill="1" applyBorder="1" applyAlignment="1">
      <alignment horizontal="left" vertical="top" wrapText="1"/>
    </xf>
    <xf numFmtId="0" fontId="1" fillId="0" borderId="23" xfId="8" applyFill="1" applyBorder="1"/>
    <xf numFmtId="0" fontId="5" fillId="0" borderId="4" xfId="0" applyFont="1" applyBorder="1" applyAlignment="1">
      <alignment horizontal="center" wrapText="1"/>
    </xf>
    <xf numFmtId="0" fontId="7" fillId="0" borderId="1" xfId="8" applyFont="1" applyFill="1" applyBorder="1" applyAlignment="1">
      <alignment horizontal="center" wrapText="1"/>
    </xf>
    <xf numFmtId="0" fontId="7" fillId="0" borderId="5" xfId="8" applyFont="1" applyFill="1" applyBorder="1" applyAlignment="1">
      <alignment horizontal="center" wrapText="1"/>
    </xf>
    <xf numFmtId="0" fontId="7" fillId="0" borderId="4" xfId="8" applyFont="1" applyFill="1" applyBorder="1"/>
    <xf numFmtId="168" fontId="7" fillId="0" borderId="1" xfId="8" applyNumberFormat="1" applyFont="1" applyFill="1" applyBorder="1" applyAlignment="1">
      <alignment vertical="top"/>
    </xf>
    <xf numFmtId="0" fontId="7" fillId="0" borderId="5" xfId="8" applyFont="1" applyFill="1" applyBorder="1"/>
    <xf numFmtId="168" fontId="7" fillId="0" borderId="1" xfId="8" applyNumberFormat="1" applyFont="1" applyFill="1" applyBorder="1"/>
    <xf numFmtId="0" fontId="7" fillId="0" borderId="7" xfId="8" applyFont="1" applyFill="1" applyBorder="1"/>
    <xf numFmtId="170" fontId="7" fillId="0" borderId="21" xfId="8" applyNumberFormat="1" applyFont="1" applyFill="1" applyBorder="1"/>
    <xf numFmtId="0" fontId="7" fillId="0" borderId="8" xfId="8" applyFont="1" applyFill="1" applyBorder="1"/>
    <xf numFmtId="0" fontId="20" fillId="0" borderId="0" xfId="0" applyNumberFormat="1" applyFont="1" applyFill="1" applyAlignment="1">
      <alignment vertical="center"/>
    </xf>
    <xf numFmtId="0" fontId="21" fillId="0" borderId="0" xfId="0" applyFont="1"/>
    <xf numFmtId="0" fontId="22" fillId="0" borderId="0" xfId="0" applyFont="1"/>
    <xf numFmtId="0" fontId="0" fillId="0" borderId="0" xfId="0" applyFont="1" applyFill="1"/>
    <xf numFmtId="0" fontId="0" fillId="0" borderId="0" xfId="0" applyFill="1" applyAlignment="1">
      <alignment vertical="center"/>
    </xf>
    <xf numFmtId="0" fontId="7" fillId="0" borderId="0" xfId="8" applyFont="1" applyFill="1" applyBorder="1" applyAlignment="1">
      <alignment vertical="top" wrapText="1"/>
    </xf>
    <xf numFmtId="0" fontId="22" fillId="0" borderId="0" xfId="0" applyFont="1" applyFill="1"/>
    <xf numFmtId="0" fontId="7" fillId="0" borderId="1" xfId="0" quotePrefix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3" fillId="0" borderId="0" xfId="0" applyNumberFormat="1" applyFont="1" applyFill="1" applyAlignment="1">
      <alignment vertical="center"/>
    </xf>
    <xf numFmtId="174" fontId="0" fillId="3" borderId="4" xfId="0" applyNumberFormat="1" applyFont="1" applyFill="1" applyBorder="1" applyAlignment="1">
      <alignment horizontal="right" wrapText="1"/>
    </xf>
    <xf numFmtId="174" fontId="0" fillId="3" borderId="5" xfId="0" applyNumberFormat="1" applyFont="1" applyFill="1" applyBorder="1" applyAlignment="1">
      <alignment horizontal="right" wrapText="1"/>
    </xf>
    <xf numFmtId="174" fontId="0" fillId="3" borderId="18" xfId="0" applyNumberFormat="1" applyFont="1" applyFill="1" applyBorder="1" applyAlignment="1">
      <alignment horizontal="right" wrapText="1"/>
    </xf>
    <xf numFmtId="166" fontId="0" fillId="3" borderId="5" xfId="0" applyNumberFormat="1" applyFont="1" applyFill="1" applyBorder="1" applyAlignment="1">
      <alignment horizontal="right" wrapText="1"/>
    </xf>
    <xf numFmtId="166" fontId="0" fillId="3" borderId="18" xfId="0" applyNumberFormat="1" applyFont="1" applyFill="1" applyBorder="1" applyAlignment="1">
      <alignment horizontal="right" wrapText="1"/>
    </xf>
    <xf numFmtId="0" fontId="0" fillId="0" borderId="1" xfId="0" applyNumberFormat="1" applyBorder="1"/>
    <xf numFmtId="0" fontId="4" fillId="6" borderId="1" xfId="0" applyNumberFormat="1" applyFont="1" applyFill="1" applyBorder="1"/>
    <xf numFmtId="166" fontId="0" fillId="0" borderId="1" xfId="0" applyNumberFormat="1" applyBorder="1"/>
    <xf numFmtId="0" fontId="4" fillId="0" borderId="27" xfId="0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right" wrapText="1"/>
    </xf>
    <xf numFmtId="171" fontId="0" fillId="0" borderId="1" xfId="1" applyNumberFormat="1" applyFont="1" applyBorder="1" applyAlignment="1">
      <alignment horizontal="right" indent="1"/>
    </xf>
    <xf numFmtId="171" fontId="0" fillId="0" borderId="1" xfId="1" applyNumberFormat="1" applyFont="1" applyFill="1" applyBorder="1" applyAlignment="1">
      <alignment horizontal="right" indent="1"/>
    </xf>
    <xf numFmtId="0" fontId="7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3" fontId="18" fillId="2" borderId="1" xfId="0" applyNumberFormat="1" applyFont="1" applyFill="1" applyBorder="1" applyAlignment="1">
      <alignment horizontal="right" wrapText="1"/>
    </xf>
    <xf numFmtId="166" fontId="6" fillId="2" borderId="1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right" wrapText="1"/>
    </xf>
    <xf numFmtId="166" fontId="18" fillId="2" borderId="1" xfId="0" applyNumberFormat="1" applyFont="1" applyFill="1" applyBorder="1" applyAlignment="1">
      <alignment horizontal="right" wrapText="1"/>
    </xf>
    <xf numFmtId="164" fontId="18" fillId="2" borderId="1" xfId="1" applyNumberFormat="1" applyFont="1" applyFill="1" applyBorder="1" applyAlignment="1">
      <alignment horizontal="right" wrapText="1"/>
    </xf>
    <xf numFmtId="166" fontId="7" fillId="2" borderId="1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7" fillId="2" borderId="1" xfId="0" applyFont="1" applyFill="1" applyBorder="1"/>
    <xf numFmtId="0" fontId="7" fillId="2" borderId="0" xfId="0" applyFont="1" applyFill="1" applyBorder="1"/>
    <xf numFmtId="0" fontId="6" fillId="2" borderId="0" xfId="0" applyFont="1" applyFill="1"/>
    <xf numFmtId="166" fontId="6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/>
    <xf numFmtId="1" fontId="6" fillId="2" borderId="1" xfId="0" applyNumberFormat="1" applyFont="1" applyFill="1" applyBorder="1"/>
    <xf numFmtId="0" fontId="6" fillId="2" borderId="1" xfId="0" applyFont="1" applyFill="1" applyBorder="1"/>
    <xf numFmtId="171" fontId="4" fillId="7" borderId="21" xfId="1" applyNumberFormat="1" applyFont="1" applyFill="1" applyBorder="1" applyAlignment="1">
      <alignment horizontal="right" indent="1"/>
    </xf>
    <xf numFmtId="166" fontId="4" fillId="7" borderId="8" xfId="0" applyNumberFormat="1" applyFont="1" applyFill="1" applyBorder="1" applyAlignment="1">
      <alignment horizontal="right" indent="1"/>
    </xf>
    <xf numFmtId="0" fontId="6" fillId="0" borderId="42" xfId="0" applyFont="1" applyBorder="1"/>
    <xf numFmtId="0" fontId="4" fillId="0" borderId="42" xfId="0" applyFont="1" applyBorder="1" applyAlignment="1">
      <alignment horizontal="center" wrapText="1"/>
    </xf>
    <xf numFmtId="0" fontId="7" fillId="0" borderId="42" xfId="0" applyFont="1" applyBorder="1" applyAlignment="1">
      <alignment horizontal="center"/>
    </xf>
    <xf numFmtId="0" fontId="6" fillId="0" borderId="43" xfId="0" applyFont="1" applyBorder="1"/>
    <xf numFmtId="166" fontId="0" fillId="0" borderId="27" xfId="0" applyNumberFormat="1" applyFont="1" applyBorder="1" applyAlignment="1">
      <alignment horizontal="right" indent="1"/>
    </xf>
    <xf numFmtId="0" fontId="7" fillId="0" borderId="3" xfId="0" applyFont="1" applyFill="1" applyBorder="1" applyAlignment="1">
      <alignment horizontal="center" wrapText="1"/>
    </xf>
    <xf numFmtId="0" fontId="4" fillId="7" borderId="7" xfId="0" applyFont="1" applyFill="1" applyBorder="1"/>
    <xf numFmtId="0" fontId="7" fillId="0" borderId="23" xfId="0" applyNumberFormat="1" applyFont="1" applyFill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8" xfId="0" applyFont="1" applyBorder="1"/>
    <xf numFmtId="0" fontId="0" fillId="0" borderId="18" xfId="0" applyFont="1" applyBorder="1" applyAlignment="1">
      <alignment wrapText="1"/>
    </xf>
    <xf numFmtId="0" fontId="4" fillId="5" borderId="19" xfId="0" applyFont="1" applyFill="1" applyBorder="1"/>
    <xf numFmtId="0" fontId="7" fillId="0" borderId="4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NumberFormat="1" applyBorder="1"/>
    <xf numFmtId="166" fontId="0" fillId="0" borderId="4" xfId="0" applyNumberFormat="1" applyBorder="1"/>
    <xf numFmtId="166" fontId="0" fillId="0" borderId="5" xfId="0" applyNumberFormat="1" applyBorder="1"/>
    <xf numFmtId="0" fontId="4" fillId="0" borderId="47" xfId="0" applyFont="1" applyBorder="1" applyAlignment="1">
      <alignment horizontal="center"/>
    </xf>
    <xf numFmtId="0" fontId="0" fillId="0" borderId="4" xfId="0" applyNumberFormat="1" applyFont="1" applyBorder="1" applyAlignment="1">
      <alignment horizontal="left"/>
    </xf>
    <xf numFmtId="7" fontId="6" fillId="0" borderId="1" xfId="0" applyNumberFormat="1" applyFont="1" applyBorder="1" applyAlignment="1">
      <alignment horizontal="right" wrapText="1"/>
    </xf>
    <xf numFmtId="39" fontId="6" fillId="0" borderId="1" xfId="0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166" fontId="0" fillId="0" borderId="9" xfId="0" applyNumberFormat="1" applyFont="1" applyBorder="1" applyAlignment="1">
      <alignment horizontal="right" indent="1"/>
    </xf>
    <xf numFmtId="166" fontId="4" fillId="7" borderId="48" xfId="0" applyNumberFormat="1" applyFont="1" applyFill="1" applyBorder="1" applyAlignment="1">
      <alignment horizontal="right" indent="1"/>
    </xf>
    <xf numFmtId="49" fontId="0" fillId="0" borderId="1" xfId="0" quotePrefix="1" applyNumberFormat="1" applyBorder="1"/>
    <xf numFmtId="0" fontId="8" fillId="0" borderId="0" xfId="0" applyNumberFormat="1" applyFont="1" applyAlignment="1">
      <alignment horizontal="left"/>
    </xf>
    <xf numFmtId="166" fontId="0" fillId="0" borderId="1" xfId="0" applyNumberFormat="1" applyFont="1" applyFill="1" applyBorder="1" applyAlignment="1">
      <alignment horizontal="right" wrapText="1"/>
    </xf>
    <xf numFmtId="173" fontId="6" fillId="4" borderId="8" xfId="0" applyNumberFormat="1" applyFont="1" applyFill="1" applyBorder="1" applyAlignment="1">
      <alignment horizontal="right" wrapText="1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18" fillId="0" borderId="0" xfId="0" applyNumberFormat="1" applyFont="1" applyFill="1" applyAlignment="1">
      <alignment vertical="center" wrapText="1"/>
    </xf>
    <xf numFmtId="167" fontId="26" fillId="0" borderId="0" xfId="0" applyNumberFormat="1" applyFont="1" applyFill="1" applyBorder="1"/>
    <xf numFmtId="0" fontId="18" fillId="0" borderId="0" xfId="0" applyFont="1" applyAlignment="1">
      <alignment vertical="center"/>
    </xf>
    <xf numFmtId="0" fontId="0" fillId="0" borderId="1" xfId="0" quotePrefix="1" applyNumberFormat="1" applyBorder="1"/>
    <xf numFmtId="166" fontId="0" fillId="3" borderId="49" xfId="0" applyNumberFormat="1" applyFont="1" applyFill="1" applyBorder="1" applyAlignment="1">
      <alignment horizontal="right" wrapText="1"/>
    </xf>
    <xf numFmtId="166" fontId="0" fillId="3" borderId="50" xfId="0" applyNumberFormat="1" applyFont="1" applyFill="1" applyBorder="1" applyAlignment="1">
      <alignment horizontal="right" wrapText="1"/>
    </xf>
    <xf numFmtId="174" fontId="0" fillId="3" borderId="50" xfId="0" applyNumberFormat="1" applyFont="1" applyFill="1" applyBorder="1" applyAlignment="1">
      <alignment horizontal="right" wrapText="1"/>
    </xf>
    <xf numFmtId="171" fontId="0" fillId="3" borderId="50" xfId="0" applyNumberFormat="1" applyFont="1" applyFill="1" applyBorder="1" applyAlignment="1">
      <alignment horizontal="right" wrapText="1"/>
    </xf>
    <xf numFmtId="173" fontId="6" fillId="3" borderId="47" xfId="0" applyNumberFormat="1" applyFont="1" applyFill="1" applyBorder="1" applyAlignment="1">
      <alignment horizontal="right" wrapText="1"/>
    </xf>
    <xf numFmtId="174" fontId="0" fillId="3" borderId="49" xfId="0" applyNumberFormat="1" applyFont="1" applyFill="1" applyBorder="1" applyAlignment="1">
      <alignment horizontal="right" wrapText="1"/>
    </xf>
    <xf numFmtId="174" fontId="0" fillId="3" borderId="47" xfId="0" applyNumberFormat="1" applyFont="1" applyFill="1" applyBorder="1" applyAlignment="1">
      <alignment horizontal="right" wrapText="1"/>
    </xf>
    <xf numFmtId="174" fontId="0" fillId="3" borderId="51" xfId="0" applyNumberFormat="1" applyFont="1" applyFill="1" applyBorder="1" applyAlignment="1">
      <alignment horizontal="right" wrapText="1"/>
    </xf>
    <xf numFmtId="166" fontId="0" fillId="3" borderId="35" xfId="0" applyNumberFormat="1" applyFont="1" applyFill="1" applyBorder="1" applyAlignment="1">
      <alignment horizontal="right" wrapText="1"/>
    </xf>
    <xf numFmtId="166" fontId="0" fillId="3" borderId="14" xfId="0" applyNumberFormat="1" applyFont="1" applyFill="1" applyBorder="1" applyAlignment="1">
      <alignment horizontal="right" wrapText="1"/>
    </xf>
    <xf numFmtId="166" fontId="0" fillId="3" borderId="51" xfId="0" applyNumberFormat="1" applyFont="1" applyFill="1" applyBorder="1" applyAlignment="1">
      <alignment horizontal="right" wrapText="1"/>
    </xf>
    <xf numFmtId="0" fontId="7" fillId="0" borderId="3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166" fontId="0" fillId="0" borderId="4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 wrapText="1"/>
    </xf>
    <xf numFmtId="174" fontId="0" fillId="0" borderId="5" xfId="0" applyNumberFormat="1" applyBorder="1" applyAlignment="1">
      <alignment horizontal="right" wrapText="1"/>
    </xf>
    <xf numFmtId="174" fontId="0" fillId="0" borderId="5" xfId="0" applyNumberFormat="1" applyBorder="1" applyAlignment="1">
      <alignment horizontal="right"/>
    </xf>
    <xf numFmtId="0" fontId="4" fillId="0" borderId="23" xfId="0" applyFont="1" applyBorder="1" applyAlignment="1">
      <alignment horizontal="center" wrapText="1"/>
    </xf>
    <xf numFmtId="0" fontId="4" fillId="0" borderId="18" xfId="0" applyFont="1" applyBorder="1"/>
    <xf numFmtId="0" fontId="0" fillId="0" borderId="18" xfId="0" quotePrefix="1" applyNumberFormat="1" applyFont="1" applyBorder="1" applyAlignment="1">
      <alignment horizontal="left"/>
    </xf>
    <xf numFmtId="0" fontId="0" fillId="4" borderId="19" xfId="0" applyFont="1" applyFill="1" applyBorder="1" applyAlignment="1">
      <alignment horizontal="left"/>
    </xf>
    <xf numFmtId="0" fontId="0" fillId="0" borderId="5" xfId="0" applyNumberFormat="1" applyBorder="1"/>
    <xf numFmtId="0" fontId="0" fillId="4" borderId="7" xfId="0" applyFont="1" applyFill="1" applyBorder="1"/>
    <xf numFmtId="0" fontId="0" fillId="3" borderId="7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174" fontId="0" fillId="3" borderId="8" xfId="0" applyNumberFormat="1" applyFill="1" applyBorder="1" applyAlignment="1">
      <alignment horizontal="right"/>
    </xf>
    <xf numFmtId="166" fontId="0" fillId="3" borderId="7" xfId="0" applyNumberFormat="1" applyFill="1" applyBorder="1" applyAlignment="1">
      <alignment horizontal="right"/>
    </xf>
    <xf numFmtId="166" fontId="0" fillId="3" borderId="21" xfId="0" applyNumberFormat="1" applyFill="1" applyBorder="1" applyAlignment="1">
      <alignment horizontal="right"/>
    </xf>
    <xf numFmtId="166" fontId="0" fillId="3" borderId="21" xfId="0" applyNumberFormat="1" applyFill="1" applyBorder="1" applyAlignment="1">
      <alignment horizontal="right" wrapText="1"/>
    </xf>
    <xf numFmtId="174" fontId="0" fillId="3" borderId="8" xfId="0" applyNumberFormat="1" applyFill="1" applyBorder="1" applyAlignment="1">
      <alignment horizontal="right" wrapText="1"/>
    </xf>
    <xf numFmtId="166" fontId="0" fillId="0" borderId="35" xfId="0" applyNumberFormat="1" applyBorder="1" applyAlignment="1">
      <alignment horizontal="right"/>
    </xf>
    <xf numFmtId="0" fontId="4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44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46" xfId="0" applyFont="1" applyBorder="1" applyAlignment="1">
      <alignment wrapText="1"/>
    </xf>
    <xf numFmtId="166" fontId="13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/>
    <xf numFmtId="166" fontId="13" fillId="0" borderId="1" xfId="0" quotePrefix="1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0" fontId="4" fillId="7" borderId="22" xfId="0" applyFont="1" applyFill="1" applyBorder="1" applyAlignment="1">
      <alignment horizontal="center"/>
    </xf>
    <xf numFmtId="166" fontId="4" fillId="7" borderId="7" xfId="0" applyNumberFormat="1" applyFont="1" applyFill="1" applyBorder="1" applyAlignment="1">
      <alignment horizontal="right" indent="1"/>
    </xf>
    <xf numFmtId="166" fontId="4" fillId="7" borderId="22" xfId="0" applyNumberFormat="1" applyFont="1" applyFill="1" applyBorder="1" applyAlignment="1">
      <alignment horizontal="right" indent="1"/>
    </xf>
    <xf numFmtId="0" fontId="22" fillId="0" borderId="0" xfId="0" quotePrefix="1" applyFont="1"/>
    <xf numFmtId="168" fontId="7" fillId="0" borderId="1" xfId="0" applyNumberFormat="1" applyFont="1" applyBorder="1" applyAlignment="1">
      <alignment horizontal="center" wrapText="1"/>
    </xf>
    <xf numFmtId="0" fontId="4" fillId="0" borderId="0" xfId="0" applyFont="1" applyAlignment="1"/>
    <xf numFmtId="174" fontId="0" fillId="0" borderId="0" xfId="0" applyNumberFormat="1" applyFont="1" applyAlignment="1">
      <alignment horizontal="left"/>
    </xf>
    <xf numFmtId="2" fontId="0" fillId="0" borderId="0" xfId="1" applyNumberFormat="1" applyFont="1"/>
    <xf numFmtId="176" fontId="0" fillId="0" borderId="0" xfId="1" applyNumberFormat="1" applyFont="1"/>
    <xf numFmtId="171" fontId="6" fillId="0" borderId="0" xfId="0" applyNumberFormat="1" applyFont="1" applyAlignment="1">
      <alignment horizontal="left" wrapText="1"/>
    </xf>
    <xf numFmtId="171" fontId="0" fillId="0" borderId="0" xfId="0" applyNumberFormat="1" applyFont="1" applyAlignment="1">
      <alignment horizontal="left"/>
    </xf>
    <xf numFmtId="0" fontId="4" fillId="0" borderId="15" xfId="0" applyFont="1" applyFill="1" applyBorder="1" applyAlignment="1">
      <alignment horizontal="right" indent="1"/>
    </xf>
    <xf numFmtId="169" fontId="7" fillId="0" borderId="0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right" indent="1"/>
    </xf>
    <xf numFmtId="169" fontId="7" fillId="0" borderId="12" xfId="0" applyNumberFormat="1" applyFont="1" applyFill="1" applyBorder="1" applyAlignment="1">
      <alignment horizontal="left"/>
    </xf>
    <xf numFmtId="0" fontId="0" fillId="0" borderId="12" xfId="0" quotePrefix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4" xfId="0" applyFill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171" fontId="0" fillId="0" borderId="0" xfId="0" applyNumberFormat="1" applyFill="1" applyAlignment="1">
      <alignment horizontal="left"/>
    </xf>
    <xf numFmtId="0" fontId="8" fillId="0" borderId="0" xfId="0" applyFont="1" applyFill="1"/>
    <xf numFmtId="0" fontId="8" fillId="0" borderId="0" xfId="0" applyNumberFormat="1" applyFont="1" applyFill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4" fillId="4" borderId="22" xfId="0" applyNumberFormat="1" applyFont="1" applyFill="1" applyBorder="1" applyAlignment="1">
      <alignment horizontal="left"/>
    </xf>
    <xf numFmtId="0" fontId="4" fillId="4" borderId="24" xfId="0" applyNumberFormat="1" applyFont="1" applyFill="1" applyBorder="1" applyAlignment="1">
      <alignment horizontal="left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/>
    </xf>
    <xf numFmtId="0" fontId="25" fillId="0" borderId="0" xfId="0" applyFont="1" applyFill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4" borderId="22" xfId="0" applyNumberFormat="1" applyFill="1" applyBorder="1" applyAlignment="1">
      <alignment horizontal="left"/>
    </xf>
    <xf numFmtId="0" fontId="0" fillId="4" borderId="31" xfId="0" applyNumberForma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2" borderId="36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7" fillId="0" borderId="44" xfId="0" applyFont="1" applyBorder="1" applyAlignment="1">
      <alignment horizontal="center" vertical="top"/>
    </xf>
    <xf numFmtId="0" fontId="7" fillId="0" borderId="45" xfId="0" applyFont="1" applyBorder="1" applyAlignment="1">
      <alignment horizontal="center" vertical="top"/>
    </xf>
    <xf numFmtId="0" fontId="7" fillId="0" borderId="46" xfId="0" applyFont="1" applyBorder="1" applyAlignment="1">
      <alignment horizontal="center" vertical="top"/>
    </xf>
    <xf numFmtId="166" fontId="7" fillId="0" borderId="44" xfId="0" applyNumberFormat="1" applyFont="1" applyFill="1" applyBorder="1" applyAlignment="1">
      <alignment horizontal="center"/>
    </xf>
    <xf numFmtId="166" fontId="7" fillId="0" borderId="46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quotePrefix="1" applyFont="1" applyAlignment="1">
      <alignment horizontal="left" wrapText="1"/>
    </xf>
    <xf numFmtId="166" fontId="12" fillId="0" borderId="0" xfId="0" applyNumberFormat="1" applyFont="1" applyFill="1" applyBorder="1" applyAlignment="1">
      <alignment horizontal="center" wrapText="1"/>
    </xf>
    <xf numFmtId="166" fontId="7" fillId="0" borderId="32" xfId="0" applyNumberFormat="1" applyFont="1" applyFill="1" applyBorder="1" applyAlignment="1">
      <alignment horizontal="center"/>
    </xf>
    <xf numFmtId="166" fontId="7" fillId="0" borderId="34" xfId="0" applyNumberFormat="1" applyFont="1" applyFill="1" applyBorder="1" applyAlignment="1">
      <alignment horizontal="center"/>
    </xf>
    <xf numFmtId="166" fontId="7" fillId="0" borderId="37" xfId="0" applyNumberFormat="1" applyFont="1" applyFill="1" applyBorder="1" applyAlignment="1">
      <alignment horizontal="center"/>
    </xf>
    <xf numFmtId="166" fontId="7" fillId="0" borderId="38" xfId="0" applyNumberFormat="1" applyFont="1" applyFill="1" applyBorder="1" applyAlignment="1">
      <alignment horizontal="center"/>
    </xf>
  </cellXfs>
  <cellStyles count="9">
    <cellStyle name="Comma 2" xfId="4" xr:uid="{00000000-0005-0000-0000-000008000000}"/>
    <cellStyle name="Comma 5" xfId="3" xr:uid="{00000000-0005-0000-0000-000007000000}"/>
    <cellStyle name="Currency 2" xfId="6" xr:uid="{00000000-0005-0000-0000-00000A000000}"/>
    <cellStyle name="Normal" xfId="0" builtinId="0"/>
    <cellStyle name="Normal 2" xfId="2" xr:uid="{00000000-0005-0000-0000-000006000000}"/>
    <cellStyle name="Normal 3" xfId="7" xr:uid="{00000000-0005-0000-0000-00000B000000}"/>
    <cellStyle name="Normal_CBTC prelim AN11" xfId="8" xr:uid="{00000000-0005-0000-0000-00000C000000}"/>
    <cellStyle name="Percent" xfId="1" builtinId="5"/>
    <cellStyle name="Percent 2" xfId="5" xr:uid="{00000000-0005-0000-0000-000009000000}"/>
  </cellStyles>
  <dxfs count="10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73"/>
  <sheetViews>
    <sheetView workbookViewId="0"/>
  </sheetViews>
  <sheetFormatPr defaultColWidth="9.140625" defaultRowHeight="15" x14ac:dyDescent="0.25"/>
  <cols>
    <col min="1" max="1" width="161" style="41" customWidth="1"/>
    <col min="2" max="16384" width="9.140625" style="41"/>
  </cols>
  <sheetData>
    <row r="1" spans="1:9" ht="18.75" x14ac:dyDescent="0.25">
      <c r="A1" s="17" t="s">
        <v>16</v>
      </c>
    </row>
    <row r="2" spans="1:9" x14ac:dyDescent="0.25">
      <c r="A2" s="143"/>
    </row>
    <row r="3" spans="1:9" ht="15.75" customHeight="1" x14ac:dyDescent="0.25">
      <c r="A3" s="158" t="s">
        <v>156</v>
      </c>
    </row>
    <row r="4" spans="1:9" ht="15.75" customHeight="1" x14ac:dyDescent="0.25">
      <c r="A4" s="158" t="s">
        <v>89</v>
      </c>
    </row>
    <row r="5" spans="1:9" ht="15.75" customHeight="1" x14ac:dyDescent="0.25">
      <c r="A5" s="177"/>
    </row>
    <row r="6" spans="1:9" ht="15.75" customHeight="1" x14ac:dyDescent="0.25">
      <c r="A6" s="180" t="s">
        <v>105</v>
      </c>
    </row>
    <row r="7" spans="1:9" ht="15.75" customHeight="1" x14ac:dyDescent="0.25">
      <c r="A7" s="171" t="s">
        <v>96</v>
      </c>
    </row>
    <row r="8" spans="1:9" ht="15.75" customHeight="1" x14ac:dyDescent="0.25">
      <c r="A8" s="171" t="s">
        <v>95</v>
      </c>
    </row>
    <row r="9" spans="1:9" ht="15.75" customHeight="1" x14ac:dyDescent="0.25">
      <c r="A9" s="158"/>
    </row>
    <row r="10" spans="1:9" ht="15.75" customHeight="1" x14ac:dyDescent="0.25">
      <c r="A10" s="158" t="s">
        <v>85</v>
      </c>
    </row>
    <row r="11" spans="1:9" ht="15.75" customHeight="1" x14ac:dyDescent="0.25">
      <c r="A11" s="158"/>
    </row>
    <row r="12" spans="1:9" ht="14.45" customHeight="1" x14ac:dyDescent="0.25">
      <c r="A12" s="249" t="s">
        <v>112</v>
      </c>
      <c r="B12" s="247"/>
      <c r="C12" s="247"/>
      <c r="D12" s="247"/>
      <c r="E12" s="247"/>
      <c r="F12" s="247"/>
      <c r="G12" s="247"/>
      <c r="H12" s="247"/>
      <c r="I12" s="247"/>
    </row>
    <row r="13" spans="1:9" ht="14.45" customHeight="1" x14ac:dyDescent="0.25">
      <c r="A13" s="36" t="s">
        <v>113</v>
      </c>
      <c r="B13" s="247"/>
      <c r="C13" s="247"/>
      <c r="D13" s="247"/>
      <c r="E13" s="247"/>
      <c r="F13" s="247"/>
      <c r="G13" s="247"/>
      <c r="H13" s="247"/>
      <c r="I13" s="247"/>
    </row>
    <row r="14" spans="1:9" ht="14.45" customHeight="1" x14ac:dyDescent="0.25">
      <c r="A14" s="249" t="s">
        <v>114</v>
      </c>
      <c r="B14" s="247"/>
      <c r="C14" s="247"/>
      <c r="D14" s="247"/>
      <c r="E14" s="247"/>
      <c r="F14" s="247"/>
      <c r="G14" s="247"/>
      <c r="H14" s="247"/>
      <c r="I14" s="247"/>
    </row>
    <row r="15" spans="1:9" ht="14.45" customHeight="1" x14ac:dyDescent="0.25">
      <c r="A15" s="249" t="s">
        <v>115</v>
      </c>
      <c r="B15" s="247"/>
      <c r="C15" s="247"/>
      <c r="D15" s="247"/>
      <c r="E15" s="247"/>
      <c r="F15" s="247"/>
      <c r="G15" s="247"/>
      <c r="H15" s="247"/>
      <c r="I15" s="247"/>
    </row>
    <row r="16" spans="1:9" ht="15.75" customHeight="1" x14ac:dyDescent="0.25">
      <c r="A16" s="158" t="s">
        <v>86</v>
      </c>
    </row>
    <row r="17" spans="1:9" ht="15.75" customHeight="1" x14ac:dyDescent="0.25">
      <c r="A17" s="171" t="s">
        <v>97</v>
      </c>
    </row>
    <row r="18" spans="1:9" ht="15.75" customHeight="1" x14ac:dyDescent="0.25">
      <c r="A18" s="171" t="s">
        <v>98</v>
      </c>
    </row>
    <row r="19" spans="1:9" ht="15.75" customHeight="1" x14ac:dyDescent="0.25">
      <c r="A19" s="171" t="s">
        <v>99</v>
      </c>
    </row>
    <row r="20" spans="1:9" ht="15.75" customHeight="1" x14ac:dyDescent="0.25">
      <c r="A20" s="177"/>
    </row>
    <row r="21" spans="1:9" ht="15.75" customHeight="1" x14ac:dyDescent="0.25">
      <c r="A21" s="158" t="s">
        <v>100</v>
      </c>
    </row>
    <row r="22" spans="1:9" ht="15.75" customHeight="1" x14ac:dyDescent="0.25">
      <c r="A22" s="158" t="s">
        <v>87</v>
      </c>
    </row>
    <row r="23" spans="1:9" ht="15.75" customHeight="1" x14ac:dyDescent="0.25">
      <c r="A23" s="171" t="s">
        <v>88</v>
      </c>
    </row>
    <row r="24" spans="1:9" ht="15.75" customHeight="1" x14ac:dyDescent="0.25">
      <c r="A24" s="158"/>
    </row>
    <row r="25" spans="1:9" s="1" customFormat="1" ht="15.75" customHeight="1" x14ac:dyDescent="0.25">
      <c r="A25" s="175" t="s">
        <v>101</v>
      </c>
      <c r="B25" s="158"/>
      <c r="C25" s="158"/>
      <c r="D25" s="158"/>
      <c r="E25" s="158"/>
      <c r="F25" s="158"/>
      <c r="G25" s="158"/>
      <c r="H25" s="158"/>
      <c r="I25" s="158"/>
    </row>
    <row r="26" spans="1:9" s="1" customFormat="1" ht="15.75" customHeight="1" x14ac:dyDescent="0.25">
      <c r="A26" s="179" t="s">
        <v>102</v>
      </c>
      <c r="B26" s="158"/>
      <c r="C26" s="158"/>
      <c r="D26" s="158"/>
      <c r="E26" s="158"/>
      <c r="F26" s="158"/>
      <c r="G26" s="158"/>
      <c r="H26" s="158"/>
      <c r="I26" s="158"/>
    </row>
    <row r="27" spans="1:9" ht="15.75" customHeight="1" x14ac:dyDescent="0.25">
      <c r="A27" s="175" t="s">
        <v>103</v>
      </c>
    </row>
    <row r="28" spans="1:9" ht="15.75" customHeight="1" x14ac:dyDescent="0.25">
      <c r="A28" s="175" t="s">
        <v>104</v>
      </c>
    </row>
    <row r="29" spans="1:9" ht="15.75" customHeight="1" x14ac:dyDescent="0.25">
      <c r="A29" s="179"/>
    </row>
    <row r="30" spans="1:9" ht="15.75" customHeight="1" x14ac:dyDescent="0.25">
      <c r="A30" s="179"/>
    </row>
    <row r="31" spans="1:9" ht="15.75" customHeight="1" x14ac:dyDescent="0.25">
      <c r="A31" s="172" t="s">
        <v>17</v>
      </c>
    </row>
    <row r="32" spans="1:9" ht="15.75" customHeight="1" x14ac:dyDescent="0.25">
      <c r="A32" s="173" t="s">
        <v>75</v>
      </c>
    </row>
    <row r="33" spans="1:1" ht="15.75" customHeight="1" x14ac:dyDescent="0.25">
      <c r="A33" s="173" t="s">
        <v>76</v>
      </c>
    </row>
    <row r="34" spans="1:1" ht="15.75" customHeight="1" x14ac:dyDescent="0.25">
      <c r="A34" s="298" t="s">
        <v>149</v>
      </c>
    </row>
    <row r="35" spans="1:1" ht="15.75" customHeight="1" x14ac:dyDescent="0.25">
      <c r="A35" s="298" t="s">
        <v>150</v>
      </c>
    </row>
    <row r="36" spans="1:1" ht="15.75" customHeight="1" x14ac:dyDescent="0.25">
      <c r="A36" s="298" t="s">
        <v>151</v>
      </c>
    </row>
    <row r="37" spans="1:1" ht="15.75" customHeight="1" x14ac:dyDescent="0.25">
      <c r="A37" s="298" t="s">
        <v>152</v>
      </c>
    </row>
    <row r="38" spans="1:1" ht="15.75" customHeight="1" x14ac:dyDescent="0.25">
      <c r="A38" s="173" t="s">
        <v>116</v>
      </c>
    </row>
    <row r="39" spans="1:1" ht="15.75" customHeight="1" x14ac:dyDescent="0.25"/>
    <row r="40" spans="1:1" ht="15.75" customHeight="1" x14ac:dyDescent="0.25"/>
    <row r="41" spans="1:1" ht="15.75" customHeight="1" x14ac:dyDescent="0.25">
      <c r="A41" s="158"/>
    </row>
    <row r="42" spans="1:1" ht="15.75" customHeight="1" x14ac:dyDescent="0.25">
      <c r="A42" s="158"/>
    </row>
    <row r="43" spans="1:1" ht="15.75" customHeight="1" x14ac:dyDescent="0.25">
      <c r="A43" s="158"/>
    </row>
    <row r="44" spans="1:1" ht="15.75" customHeight="1" x14ac:dyDescent="0.25">
      <c r="A44" s="171"/>
    </row>
    <row r="45" spans="1:1" ht="15.75" x14ac:dyDescent="0.25">
      <c r="A45" s="158"/>
    </row>
    <row r="46" spans="1:1" ht="15.75" x14ac:dyDescent="0.25">
      <c r="A46" s="158"/>
    </row>
    <row r="47" spans="1:1" ht="15.75" x14ac:dyDescent="0.25">
      <c r="A47" s="158"/>
    </row>
    <row r="48" spans="1:1" ht="15.75" x14ac:dyDescent="0.25">
      <c r="A48" s="171"/>
    </row>
    <row r="49" spans="1:1" x14ac:dyDescent="0.25">
      <c r="A49" s="113"/>
    </row>
    <row r="50" spans="1:1" ht="15.75" x14ac:dyDescent="0.25">
      <c r="A50" s="171"/>
    </row>
    <row r="51" spans="1:1" ht="15.75" x14ac:dyDescent="0.25">
      <c r="A51" s="171"/>
    </row>
    <row r="52" spans="1:1" ht="15.75" x14ac:dyDescent="0.25">
      <c r="A52" s="158"/>
    </row>
    <row r="53" spans="1:1" ht="15.75" x14ac:dyDescent="0.25">
      <c r="A53" s="171"/>
    </row>
    <row r="54" spans="1:1" ht="15.75" x14ac:dyDescent="0.25">
      <c r="A54" s="171"/>
    </row>
    <row r="55" spans="1:1" ht="15.75" x14ac:dyDescent="0.25">
      <c r="A55" s="171"/>
    </row>
    <row r="56" spans="1:1" x14ac:dyDescent="0.25">
      <c r="A56" s="174"/>
    </row>
    <row r="57" spans="1:1" ht="15.75" x14ac:dyDescent="0.25">
      <c r="A57" s="158"/>
    </row>
    <row r="58" spans="1:1" ht="15.75" x14ac:dyDescent="0.25">
      <c r="A58" s="158"/>
    </row>
    <row r="59" spans="1:1" ht="15.75" x14ac:dyDescent="0.25">
      <c r="A59" s="171"/>
    </row>
    <row r="60" spans="1:1" ht="15.75" x14ac:dyDescent="0.25">
      <c r="A60" s="158"/>
    </row>
    <row r="61" spans="1:1" x14ac:dyDescent="0.25">
      <c r="A61" s="175"/>
    </row>
    <row r="62" spans="1:1" ht="15.75" x14ac:dyDescent="0.25">
      <c r="A62" s="158"/>
    </row>
    <row r="63" spans="1:1" x14ac:dyDescent="0.25">
      <c r="A63" s="113"/>
    </row>
    <row r="64" spans="1:1" ht="15.75" x14ac:dyDescent="0.25">
      <c r="A64" s="158"/>
    </row>
    <row r="65" spans="1:1" x14ac:dyDescent="0.25">
      <c r="A65" s="113"/>
    </row>
    <row r="66" spans="1:1" x14ac:dyDescent="0.25">
      <c r="A66" s="174"/>
    </row>
    <row r="67" spans="1:1" x14ac:dyDescent="0.25">
      <c r="A67" s="174"/>
    </row>
    <row r="68" spans="1:1" x14ac:dyDescent="0.25">
      <c r="A68" s="174"/>
    </row>
    <row r="69" spans="1:1" x14ac:dyDescent="0.25">
      <c r="A69" s="174"/>
    </row>
    <row r="70" spans="1:1" x14ac:dyDescent="0.25">
      <c r="A70" s="174"/>
    </row>
    <row r="71" spans="1:1" x14ac:dyDescent="0.25">
      <c r="A71" s="174"/>
    </row>
    <row r="72" spans="1:1" x14ac:dyDescent="0.25">
      <c r="A72" s="174"/>
    </row>
    <row r="73" spans="1:1" x14ac:dyDescent="0.25">
      <c r="A73" s="174"/>
    </row>
  </sheetData>
  <pageMargins left="0.25" right="0.25" top="0.75" bottom="0.75" header="0.3" footer="0.3"/>
  <pageSetup paperSize="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BCEFD-6DCB-4A94-9DA7-0EF7E848680B}">
  <sheetPr codeName="Sheet2">
    <pageSetUpPr fitToPage="1"/>
  </sheetPr>
  <dimension ref="A1:R25"/>
  <sheetViews>
    <sheetView topLeftCell="A3" zoomScale="80" zoomScaleNormal="80" workbookViewId="0">
      <selection activeCell="D9" sqref="D9"/>
    </sheetView>
  </sheetViews>
  <sheetFormatPr defaultRowHeight="15.75" x14ac:dyDescent="0.25"/>
  <cols>
    <col min="1" max="1" width="26.140625" style="23" customWidth="1"/>
    <col min="2" max="2" width="26.85546875" style="23" customWidth="1"/>
    <col min="3" max="3" width="20.28515625" style="23" customWidth="1"/>
    <col min="4" max="4" width="31.28515625" style="23" customWidth="1"/>
    <col min="5" max="7" width="20.7109375" style="23" customWidth="1"/>
    <col min="8" max="8" width="23.140625" style="23" customWidth="1"/>
    <col min="9" max="31" width="20.7109375" style="1" customWidth="1"/>
    <col min="32" max="254" width="8.85546875" style="1"/>
    <col min="255" max="255" width="13.7109375" style="1" customWidth="1"/>
    <col min="256" max="256" width="14.28515625" style="1" customWidth="1"/>
    <col min="257" max="257" width="27.7109375" style="1" customWidth="1"/>
    <col min="258" max="258" width="19.140625" style="1" customWidth="1"/>
    <col min="259" max="259" width="23.28515625" style="1" customWidth="1"/>
    <col min="260" max="260" width="20.7109375" style="1" customWidth="1"/>
    <col min="261" max="261" width="23.140625" style="1" customWidth="1"/>
    <col min="262" max="262" width="24" style="1" customWidth="1"/>
    <col min="263" max="263" width="17" style="1" customWidth="1"/>
    <col min="264" max="264" width="8.85546875" style="1"/>
    <col min="265" max="265" width="16" style="1" customWidth="1"/>
    <col min="266" max="266" width="16.7109375" style="1" customWidth="1"/>
    <col min="267" max="267" width="13.28515625" style="1" customWidth="1"/>
    <col min="268" max="510" width="8.85546875" style="1"/>
    <col min="511" max="511" width="13.7109375" style="1" customWidth="1"/>
    <col min="512" max="512" width="14.28515625" style="1" customWidth="1"/>
    <col min="513" max="513" width="27.7109375" style="1" customWidth="1"/>
    <col min="514" max="514" width="19.140625" style="1" customWidth="1"/>
    <col min="515" max="515" width="23.28515625" style="1" customWidth="1"/>
    <col min="516" max="516" width="20.7109375" style="1" customWidth="1"/>
    <col min="517" max="517" width="23.140625" style="1" customWidth="1"/>
    <col min="518" max="518" width="24" style="1" customWidth="1"/>
    <col min="519" max="519" width="17" style="1" customWidth="1"/>
    <col min="520" max="520" width="8.85546875" style="1"/>
    <col min="521" max="521" width="16" style="1" customWidth="1"/>
    <col min="522" max="522" width="16.7109375" style="1" customWidth="1"/>
    <col min="523" max="523" width="13.28515625" style="1" customWidth="1"/>
    <col min="524" max="766" width="8.85546875" style="1"/>
    <col min="767" max="767" width="13.7109375" style="1" customWidth="1"/>
    <col min="768" max="768" width="14.28515625" style="1" customWidth="1"/>
    <col min="769" max="769" width="27.7109375" style="1" customWidth="1"/>
    <col min="770" max="770" width="19.140625" style="1" customWidth="1"/>
    <col min="771" max="771" width="23.28515625" style="1" customWidth="1"/>
    <col min="772" max="772" width="20.7109375" style="1" customWidth="1"/>
    <col min="773" max="773" width="23.140625" style="1" customWidth="1"/>
    <col min="774" max="774" width="24" style="1" customWidth="1"/>
    <col min="775" max="775" width="17" style="1" customWidth="1"/>
    <col min="776" max="776" width="8.85546875" style="1"/>
    <col min="777" max="777" width="16" style="1" customWidth="1"/>
    <col min="778" max="778" width="16.7109375" style="1" customWidth="1"/>
    <col min="779" max="779" width="13.28515625" style="1" customWidth="1"/>
    <col min="780" max="1022" width="8.85546875" style="1"/>
    <col min="1023" max="1023" width="13.7109375" style="1" customWidth="1"/>
    <col min="1024" max="1024" width="14.28515625" style="1" customWidth="1"/>
    <col min="1025" max="1025" width="27.7109375" style="1" customWidth="1"/>
    <col min="1026" max="1026" width="19.140625" style="1" customWidth="1"/>
    <col min="1027" max="1027" width="23.28515625" style="1" customWidth="1"/>
    <col min="1028" max="1028" width="20.7109375" style="1" customWidth="1"/>
    <col min="1029" max="1029" width="23.140625" style="1" customWidth="1"/>
    <col min="1030" max="1030" width="24" style="1" customWidth="1"/>
    <col min="1031" max="1031" width="17" style="1" customWidth="1"/>
    <col min="1032" max="1032" width="8.85546875" style="1"/>
    <col min="1033" max="1033" width="16" style="1" customWidth="1"/>
    <col min="1034" max="1034" width="16.7109375" style="1" customWidth="1"/>
    <col min="1035" max="1035" width="13.28515625" style="1" customWidth="1"/>
    <col min="1036" max="1278" width="8.85546875" style="1"/>
    <col min="1279" max="1279" width="13.7109375" style="1" customWidth="1"/>
    <col min="1280" max="1280" width="14.28515625" style="1" customWidth="1"/>
    <col min="1281" max="1281" width="27.7109375" style="1" customWidth="1"/>
    <col min="1282" max="1282" width="19.140625" style="1" customWidth="1"/>
    <col min="1283" max="1283" width="23.28515625" style="1" customWidth="1"/>
    <col min="1284" max="1284" width="20.7109375" style="1" customWidth="1"/>
    <col min="1285" max="1285" width="23.140625" style="1" customWidth="1"/>
    <col min="1286" max="1286" width="24" style="1" customWidth="1"/>
    <col min="1287" max="1287" width="17" style="1" customWidth="1"/>
    <col min="1288" max="1288" width="8.85546875" style="1"/>
    <col min="1289" max="1289" width="16" style="1" customWidth="1"/>
    <col min="1290" max="1290" width="16.7109375" style="1" customWidth="1"/>
    <col min="1291" max="1291" width="13.28515625" style="1" customWidth="1"/>
    <col min="1292" max="1534" width="8.85546875" style="1"/>
    <col min="1535" max="1535" width="13.7109375" style="1" customWidth="1"/>
    <col min="1536" max="1536" width="14.28515625" style="1" customWidth="1"/>
    <col min="1537" max="1537" width="27.7109375" style="1" customWidth="1"/>
    <col min="1538" max="1538" width="19.140625" style="1" customWidth="1"/>
    <col min="1539" max="1539" width="23.28515625" style="1" customWidth="1"/>
    <col min="1540" max="1540" width="20.7109375" style="1" customWidth="1"/>
    <col min="1541" max="1541" width="23.140625" style="1" customWidth="1"/>
    <col min="1542" max="1542" width="24" style="1" customWidth="1"/>
    <col min="1543" max="1543" width="17" style="1" customWidth="1"/>
    <col min="1544" max="1544" width="8.85546875" style="1"/>
    <col min="1545" max="1545" width="16" style="1" customWidth="1"/>
    <col min="1546" max="1546" width="16.7109375" style="1" customWidth="1"/>
    <col min="1547" max="1547" width="13.28515625" style="1" customWidth="1"/>
    <col min="1548" max="1790" width="8.85546875" style="1"/>
    <col min="1791" max="1791" width="13.7109375" style="1" customWidth="1"/>
    <col min="1792" max="1792" width="14.28515625" style="1" customWidth="1"/>
    <col min="1793" max="1793" width="27.7109375" style="1" customWidth="1"/>
    <col min="1794" max="1794" width="19.140625" style="1" customWidth="1"/>
    <col min="1795" max="1795" width="23.28515625" style="1" customWidth="1"/>
    <col min="1796" max="1796" width="20.7109375" style="1" customWidth="1"/>
    <col min="1797" max="1797" width="23.140625" style="1" customWidth="1"/>
    <col min="1798" max="1798" width="24" style="1" customWidth="1"/>
    <col min="1799" max="1799" width="17" style="1" customWidth="1"/>
    <col min="1800" max="1800" width="8.85546875" style="1"/>
    <col min="1801" max="1801" width="16" style="1" customWidth="1"/>
    <col min="1802" max="1802" width="16.7109375" style="1" customWidth="1"/>
    <col min="1803" max="1803" width="13.28515625" style="1" customWidth="1"/>
    <col min="1804" max="2046" width="8.85546875" style="1"/>
    <col min="2047" max="2047" width="13.7109375" style="1" customWidth="1"/>
    <col min="2048" max="2048" width="14.28515625" style="1" customWidth="1"/>
    <col min="2049" max="2049" width="27.7109375" style="1" customWidth="1"/>
    <col min="2050" max="2050" width="19.140625" style="1" customWidth="1"/>
    <col min="2051" max="2051" width="23.28515625" style="1" customWidth="1"/>
    <col min="2052" max="2052" width="20.7109375" style="1" customWidth="1"/>
    <col min="2053" max="2053" width="23.140625" style="1" customWidth="1"/>
    <col min="2054" max="2054" width="24" style="1" customWidth="1"/>
    <col min="2055" max="2055" width="17" style="1" customWidth="1"/>
    <col min="2056" max="2056" width="8.85546875" style="1"/>
    <col min="2057" max="2057" width="16" style="1" customWidth="1"/>
    <col min="2058" max="2058" width="16.7109375" style="1" customWidth="1"/>
    <col min="2059" max="2059" width="13.28515625" style="1" customWidth="1"/>
    <col min="2060" max="2302" width="8.85546875" style="1"/>
    <col min="2303" max="2303" width="13.7109375" style="1" customWidth="1"/>
    <col min="2304" max="2304" width="14.28515625" style="1" customWidth="1"/>
    <col min="2305" max="2305" width="27.7109375" style="1" customWidth="1"/>
    <col min="2306" max="2306" width="19.140625" style="1" customWidth="1"/>
    <col min="2307" max="2307" width="23.28515625" style="1" customWidth="1"/>
    <col min="2308" max="2308" width="20.7109375" style="1" customWidth="1"/>
    <col min="2309" max="2309" width="23.140625" style="1" customWidth="1"/>
    <col min="2310" max="2310" width="24" style="1" customWidth="1"/>
    <col min="2311" max="2311" width="17" style="1" customWidth="1"/>
    <col min="2312" max="2312" width="8.85546875" style="1"/>
    <col min="2313" max="2313" width="16" style="1" customWidth="1"/>
    <col min="2314" max="2314" width="16.7109375" style="1" customWidth="1"/>
    <col min="2315" max="2315" width="13.28515625" style="1" customWidth="1"/>
    <col min="2316" max="2558" width="8.85546875" style="1"/>
    <col min="2559" max="2559" width="13.7109375" style="1" customWidth="1"/>
    <col min="2560" max="2560" width="14.28515625" style="1" customWidth="1"/>
    <col min="2561" max="2561" width="27.7109375" style="1" customWidth="1"/>
    <col min="2562" max="2562" width="19.140625" style="1" customWidth="1"/>
    <col min="2563" max="2563" width="23.28515625" style="1" customWidth="1"/>
    <col min="2564" max="2564" width="20.7109375" style="1" customWidth="1"/>
    <col min="2565" max="2565" width="23.140625" style="1" customWidth="1"/>
    <col min="2566" max="2566" width="24" style="1" customWidth="1"/>
    <col min="2567" max="2567" width="17" style="1" customWidth="1"/>
    <col min="2568" max="2568" width="8.85546875" style="1"/>
    <col min="2569" max="2569" width="16" style="1" customWidth="1"/>
    <col min="2570" max="2570" width="16.7109375" style="1" customWidth="1"/>
    <col min="2571" max="2571" width="13.28515625" style="1" customWidth="1"/>
    <col min="2572" max="2814" width="8.85546875" style="1"/>
    <col min="2815" max="2815" width="13.7109375" style="1" customWidth="1"/>
    <col min="2816" max="2816" width="14.28515625" style="1" customWidth="1"/>
    <col min="2817" max="2817" width="27.7109375" style="1" customWidth="1"/>
    <col min="2818" max="2818" width="19.140625" style="1" customWidth="1"/>
    <col min="2819" max="2819" width="23.28515625" style="1" customWidth="1"/>
    <col min="2820" max="2820" width="20.7109375" style="1" customWidth="1"/>
    <col min="2821" max="2821" width="23.140625" style="1" customWidth="1"/>
    <col min="2822" max="2822" width="24" style="1" customWidth="1"/>
    <col min="2823" max="2823" width="17" style="1" customWidth="1"/>
    <col min="2824" max="2824" width="8.85546875" style="1"/>
    <col min="2825" max="2825" width="16" style="1" customWidth="1"/>
    <col min="2826" max="2826" width="16.7109375" style="1" customWidth="1"/>
    <col min="2827" max="2827" width="13.28515625" style="1" customWidth="1"/>
    <col min="2828" max="3070" width="8.85546875" style="1"/>
    <col min="3071" max="3071" width="13.7109375" style="1" customWidth="1"/>
    <col min="3072" max="3072" width="14.28515625" style="1" customWidth="1"/>
    <col min="3073" max="3073" width="27.7109375" style="1" customWidth="1"/>
    <col min="3074" max="3074" width="19.140625" style="1" customWidth="1"/>
    <col min="3075" max="3075" width="23.28515625" style="1" customWidth="1"/>
    <col min="3076" max="3076" width="20.7109375" style="1" customWidth="1"/>
    <col min="3077" max="3077" width="23.140625" style="1" customWidth="1"/>
    <col min="3078" max="3078" width="24" style="1" customWidth="1"/>
    <col min="3079" max="3079" width="17" style="1" customWidth="1"/>
    <col min="3080" max="3080" width="8.85546875" style="1"/>
    <col min="3081" max="3081" width="16" style="1" customWidth="1"/>
    <col min="3082" max="3082" width="16.7109375" style="1" customWidth="1"/>
    <col min="3083" max="3083" width="13.28515625" style="1" customWidth="1"/>
    <col min="3084" max="3326" width="8.85546875" style="1"/>
    <col min="3327" max="3327" width="13.7109375" style="1" customWidth="1"/>
    <col min="3328" max="3328" width="14.28515625" style="1" customWidth="1"/>
    <col min="3329" max="3329" width="27.7109375" style="1" customWidth="1"/>
    <col min="3330" max="3330" width="19.140625" style="1" customWidth="1"/>
    <col min="3331" max="3331" width="23.28515625" style="1" customWidth="1"/>
    <col min="3332" max="3332" width="20.7109375" style="1" customWidth="1"/>
    <col min="3333" max="3333" width="23.140625" style="1" customWidth="1"/>
    <col min="3334" max="3334" width="24" style="1" customWidth="1"/>
    <col min="3335" max="3335" width="17" style="1" customWidth="1"/>
    <col min="3336" max="3336" width="8.85546875" style="1"/>
    <col min="3337" max="3337" width="16" style="1" customWidth="1"/>
    <col min="3338" max="3338" width="16.7109375" style="1" customWidth="1"/>
    <col min="3339" max="3339" width="13.28515625" style="1" customWidth="1"/>
    <col min="3340" max="3582" width="8.85546875" style="1"/>
    <col min="3583" max="3583" width="13.7109375" style="1" customWidth="1"/>
    <col min="3584" max="3584" width="14.28515625" style="1" customWidth="1"/>
    <col min="3585" max="3585" width="27.7109375" style="1" customWidth="1"/>
    <col min="3586" max="3586" width="19.140625" style="1" customWidth="1"/>
    <col min="3587" max="3587" width="23.28515625" style="1" customWidth="1"/>
    <col min="3588" max="3588" width="20.7109375" style="1" customWidth="1"/>
    <col min="3589" max="3589" width="23.140625" style="1" customWidth="1"/>
    <col min="3590" max="3590" width="24" style="1" customWidth="1"/>
    <col min="3591" max="3591" width="17" style="1" customWidth="1"/>
    <col min="3592" max="3592" width="8.85546875" style="1"/>
    <col min="3593" max="3593" width="16" style="1" customWidth="1"/>
    <col min="3594" max="3594" width="16.7109375" style="1" customWidth="1"/>
    <col min="3595" max="3595" width="13.28515625" style="1" customWidth="1"/>
    <col min="3596" max="3838" width="8.85546875" style="1"/>
    <col min="3839" max="3839" width="13.7109375" style="1" customWidth="1"/>
    <col min="3840" max="3840" width="14.28515625" style="1" customWidth="1"/>
    <col min="3841" max="3841" width="27.7109375" style="1" customWidth="1"/>
    <col min="3842" max="3842" width="19.140625" style="1" customWidth="1"/>
    <col min="3843" max="3843" width="23.28515625" style="1" customWidth="1"/>
    <col min="3844" max="3844" width="20.7109375" style="1" customWidth="1"/>
    <col min="3845" max="3845" width="23.140625" style="1" customWidth="1"/>
    <col min="3846" max="3846" width="24" style="1" customWidth="1"/>
    <col min="3847" max="3847" width="17" style="1" customWidth="1"/>
    <col min="3848" max="3848" width="8.85546875" style="1"/>
    <col min="3849" max="3849" width="16" style="1" customWidth="1"/>
    <col min="3850" max="3850" width="16.7109375" style="1" customWidth="1"/>
    <col min="3851" max="3851" width="13.28515625" style="1" customWidth="1"/>
    <col min="3852" max="4094" width="8.85546875" style="1"/>
    <col min="4095" max="4095" width="13.7109375" style="1" customWidth="1"/>
    <col min="4096" max="4096" width="14.28515625" style="1" customWidth="1"/>
    <col min="4097" max="4097" width="27.7109375" style="1" customWidth="1"/>
    <col min="4098" max="4098" width="19.140625" style="1" customWidth="1"/>
    <col min="4099" max="4099" width="23.28515625" style="1" customWidth="1"/>
    <col min="4100" max="4100" width="20.7109375" style="1" customWidth="1"/>
    <col min="4101" max="4101" width="23.140625" style="1" customWidth="1"/>
    <col min="4102" max="4102" width="24" style="1" customWidth="1"/>
    <col min="4103" max="4103" width="17" style="1" customWidth="1"/>
    <col min="4104" max="4104" width="8.85546875" style="1"/>
    <col min="4105" max="4105" width="16" style="1" customWidth="1"/>
    <col min="4106" max="4106" width="16.7109375" style="1" customWidth="1"/>
    <col min="4107" max="4107" width="13.28515625" style="1" customWidth="1"/>
    <col min="4108" max="4350" width="8.85546875" style="1"/>
    <col min="4351" max="4351" width="13.7109375" style="1" customWidth="1"/>
    <col min="4352" max="4352" width="14.28515625" style="1" customWidth="1"/>
    <col min="4353" max="4353" width="27.7109375" style="1" customWidth="1"/>
    <col min="4354" max="4354" width="19.140625" style="1" customWidth="1"/>
    <col min="4355" max="4355" width="23.28515625" style="1" customWidth="1"/>
    <col min="4356" max="4356" width="20.7109375" style="1" customWidth="1"/>
    <col min="4357" max="4357" width="23.140625" style="1" customWidth="1"/>
    <col min="4358" max="4358" width="24" style="1" customWidth="1"/>
    <col min="4359" max="4359" width="17" style="1" customWidth="1"/>
    <col min="4360" max="4360" width="8.85546875" style="1"/>
    <col min="4361" max="4361" width="16" style="1" customWidth="1"/>
    <col min="4362" max="4362" width="16.7109375" style="1" customWidth="1"/>
    <col min="4363" max="4363" width="13.28515625" style="1" customWidth="1"/>
    <col min="4364" max="4606" width="8.85546875" style="1"/>
    <col min="4607" max="4607" width="13.7109375" style="1" customWidth="1"/>
    <col min="4608" max="4608" width="14.28515625" style="1" customWidth="1"/>
    <col min="4609" max="4609" width="27.7109375" style="1" customWidth="1"/>
    <col min="4610" max="4610" width="19.140625" style="1" customWidth="1"/>
    <col min="4611" max="4611" width="23.28515625" style="1" customWidth="1"/>
    <col min="4612" max="4612" width="20.7109375" style="1" customWidth="1"/>
    <col min="4613" max="4613" width="23.140625" style="1" customWidth="1"/>
    <col min="4614" max="4614" width="24" style="1" customWidth="1"/>
    <col min="4615" max="4615" width="17" style="1" customWidth="1"/>
    <col min="4616" max="4616" width="8.85546875" style="1"/>
    <col min="4617" max="4617" width="16" style="1" customWidth="1"/>
    <col min="4618" max="4618" width="16.7109375" style="1" customWidth="1"/>
    <col min="4619" max="4619" width="13.28515625" style="1" customWidth="1"/>
    <col min="4620" max="4862" width="8.85546875" style="1"/>
    <col min="4863" max="4863" width="13.7109375" style="1" customWidth="1"/>
    <col min="4864" max="4864" width="14.28515625" style="1" customWidth="1"/>
    <col min="4865" max="4865" width="27.7109375" style="1" customWidth="1"/>
    <col min="4866" max="4866" width="19.140625" style="1" customWidth="1"/>
    <col min="4867" max="4867" width="23.28515625" style="1" customWidth="1"/>
    <col min="4868" max="4868" width="20.7109375" style="1" customWidth="1"/>
    <col min="4869" max="4869" width="23.140625" style="1" customWidth="1"/>
    <col min="4870" max="4870" width="24" style="1" customWidth="1"/>
    <col min="4871" max="4871" width="17" style="1" customWidth="1"/>
    <col min="4872" max="4872" width="8.85546875" style="1"/>
    <col min="4873" max="4873" width="16" style="1" customWidth="1"/>
    <col min="4874" max="4874" width="16.7109375" style="1" customWidth="1"/>
    <col min="4875" max="4875" width="13.28515625" style="1" customWidth="1"/>
    <col min="4876" max="5118" width="8.85546875" style="1"/>
    <col min="5119" max="5119" width="13.7109375" style="1" customWidth="1"/>
    <col min="5120" max="5120" width="14.28515625" style="1" customWidth="1"/>
    <col min="5121" max="5121" width="27.7109375" style="1" customWidth="1"/>
    <col min="5122" max="5122" width="19.140625" style="1" customWidth="1"/>
    <col min="5123" max="5123" width="23.28515625" style="1" customWidth="1"/>
    <col min="5124" max="5124" width="20.7109375" style="1" customWidth="1"/>
    <col min="5125" max="5125" width="23.140625" style="1" customWidth="1"/>
    <col min="5126" max="5126" width="24" style="1" customWidth="1"/>
    <col min="5127" max="5127" width="17" style="1" customWidth="1"/>
    <col min="5128" max="5128" width="8.85546875" style="1"/>
    <col min="5129" max="5129" width="16" style="1" customWidth="1"/>
    <col min="5130" max="5130" width="16.7109375" style="1" customWidth="1"/>
    <col min="5131" max="5131" width="13.28515625" style="1" customWidth="1"/>
    <col min="5132" max="5374" width="8.85546875" style="1"/>
    <col min="5375" max="5375" width="13.7109375" style="1" customWidth="1"/>
    <col min="5376" max="5376" width="14.28515625" style="1" customWidth="1"/>
    <col min="5377" max="5377" width="27.7109375" style="1" customWidth="1"/>
    <col min="5378" max="5378" width="19.140625" style="1" customWidth="1"/>
    <col min="5379" max="5379" width="23.28515625" style="1" customWidth="1"/>
    <col min="5380" max="5380" width="20.7109375" style="1" customWidth="1"/>
    <col min="5381" max="5381" width="23.140625" style="1" customWidth="1"/>
    <col min="5382" max="5382" width="24" style="1" customWidth="1"/>
    <col min="5383" max="5383" width="17" style="1" customWidth="1"/>
    <col min="5384" max="5384" width="8.85546875" style="1"/>
    <col min="5385" max="5385" width="16" style="1" customWidth="1"/>
    <col min="5386" max="5386" width="16.7109375" style="1" customWidth="1"/>
    <col min="5387" max="5387" width="13.28515625" style="1" customWidth="1"/>
    <col min="5388" max="5630" width="8.85546875" style="1"/>
    <col min="5631" max="5631" width="13.7109375" style="1" customWidth="1"/>
    <col min="5632" max="5632" width="14.28515625" style="1" customWidth="1"/>
    <col min="5633" max="5633" width="27.7109375" style="1" customWidth="1"/>
    <col min="5634" max="5634" width="19.140625" style="1" customWidth="1"/>
    <col min="5635" max="5635" width="23.28515625" style="1" customWidth="1"/>
    <col min="5636" max="5636" width="20.7109375" style="1" customWidth="1"/>
    <col min="5637" max="5637" width="23.140625" style="1" customWidth="1"/>
    <col min="5638" max="5638" width="24" style="1" customWidth="1"/>
    <col min="5639" max="5639" width="17" style="1" customWidth="1"/>
    <col min="5640" max="5640" width="8.85546875" style="1"/>
    <col min="5641" max="5641" width="16" style="1" customWidth="1"/>
    <col min="5642" max="5642" width="16.7109375" style="1" customWidth="1"/>
    <col min="5643" max="5643" width="13.28515625" style="1" customWidth="1"/>
    <col min="5644" max="5886" width="8.85546875" style="1"/>
    <col min="5887" max="5887" width="13.7109375" style="1" customWidth="1"/>
    <col min="5888" max="5888" width="14.28515625" style="1" customWidth="1"/>
    <col min="5889" max="5889" width="27.7109375" style="1" customWidth="1"/>
    <col min="5890" max="5890" width="19.140625" style="1" customWidth="1"/>
    <col min="5891" max="5891" width="23.28515625" style="1" customWidth="1"/>
    <col min="5892" max="5892" width="20.7109375" style="1" customWidth="1"/>
    <col min="5893" max="5893" width="23.140625" style="1" customWidth="1"/>
    <col min="5894" max="5894" width="24" style="1" customWidth="1"/>
    <col min="5895" max="5895" width="17" style="1" customWidth="1"/>
    <col min="5896" max="5896" width="8.85546875" style="1"/>
    <col min="5897" max="5897" width="16" style="1" customWidth="1"/>
    <col min="5898" max="5898" width="16.7109375" style="1" customWidth="1"/>
    <col min="5899" max="5899" width="13.28515625" style="1" customWidth="1"/>
    <col min="5900" max="6142" width="8.85546875" style="1"/>
    <col min="6143" max="6143" width="13.7109375" style="1" customWidth="1"/>
    <col min="6144" max="6144" width="14.28515625" style="1" customWidth="1"/>
    <col min="6145" max="6145" width="27.7109375" style="1" customWidth="1"/>
    <col min="6146" max="6146" width="19.140625" style="1" customWidth="1"/>
    <col min="6147" max="6147" width="23.28515625" style="1" customWidth="1"/>
    <col min="6148" max="6148" width="20.7109375" style="1" customWidth="1"/>
    <col min="6149" max="6149" width="23.140625" style="1" customWidth="1"/>
    <col min="6150" max="6150" width="24" style="1" customWidth="1"/>
    <col min="6151" max="6151" width="17" style="1" customWidth="1"/>
    <col min="6152" max="6152" width="8.85546875" style="1"/>
    <col min="6153" max="6153" width="16" style="1" customWidth="1"/>
    <col min="6154" max="6154" width="16.7109375" style="1" customWidth="1"/>
    <col min="6155" max="6155" width="13.28515625" style="1" customWidth="1"/>
    <col min="6156" max="6398" width="8.85546875" style="1"/>
    <col min="6399" max="6399" width="13.7109375" style="1" customWidth="1"/>
    <col min="6400" max="6400" width="14.28515625" style="1" customWidth="1"/>
    <col min="6401" max="6401" width="27.7109375" style="1" customWidth="1"/>
    <col min="6402" max="6402" width="19.140625" style="1" customWidth="1"/>
    <col min="6403" max="6403" width="23.28515625" style="1" customWidth="1"/>
    <col min="6404" max="6404" width="20.7109375" style="1" customWidth="1"/>
    <col min="6405" max="6405" width="23.140625" style="1" customWidth="1"/>
    <col min="6406" max="6406" width="24" style="1" customWidth="1"/>
    <col min="6407" max="6407" width="17" style="1" customWidth="1"/>
    <col min="6408" max="6408" width="8.85546875" style="1"/>
    <col min="6409" max="6409" width="16" style="1" customWidth="1"/>
    <col min="6410" max="6410" width="16.7109375" style="1" customWidth="1"/>
    <col min="6411" max="6411" width="13.28515625" style="1" customWidth="1"/>
    <col min="6412" max="6654" width="8.85546875" style="1"/>
    <col min="6655" max="6655" width="13.7109375" style="1" customWidth="1"/>
    <col min="6656" max="6656" width="14.28515625" style="1" customWidth="1"/>
    <col min="6657" max="6657" width="27.7109375" style="1" customWidth="1"/>
    <col min="6658" max="6658" width="19.140625" style="1" customWidth="1"/>
    <col min="6659" max="6659" width="23.28515625" style="1" customWidth="1"/>
    <col min="6660" max="6660" width="20.7109375" style="1" customWidth="1"/>
    <col min="6661" max="6661" width="23.140625" style="1" customWidth="1"/>
    <col min="6662" max="6662" width="24" style="1" customWidth="1"/>
    <col min="6663" max="6663" width="17" style="1" customWidth="1"/>
    <col min="6664" max="6664" width="8.85546875" style="1"/>
    <col min="6665" max="6665" width="16" style="1" customWidth="1"/>
    <col min="6666" max="6666" width="16.7109375" style="1" customWidth="1"/>
    <col min="6667" max="6667" width="13.28515625" style="1" customWidth="1"/>
    <col min="6668" max="6910" width="8.85546875" style="1"/>
    <col min="6911" max="6911" width="13.7109375" style="1" customWidth="1"/>
    <col min="6912" max="6912" width="14.28515625" style="1" customWidth="1"/>
    <col min="6913" max="6913" width="27.7109375" style="1" customWidth="1"/>
    <col min="6914" max="6914" width="19.140625" style="1" customWidth="1"/>
    <col min="6915" max="6915" width="23.28515625" style="1" customWidth="1"/>
    <col min="6916" max="6916" width="20.7109375" style="1" customWidth="1"/>
    <col min="6917" max="6917" width="23.140625" style="1" customWidth="1"/>
    <col min="6918" max="6918" width="24" style="1" customWidth="1"/>
    <col min="6919" max="6919" width="17" style="1" customWidth="1"/>
    <col min="6920" max="6920" width="8.85546875" style="1"/>
    <col min="6921" max="6921" width="16" style="1" customWidth="1"/>
    <col min="6922" max="6922" width="16.7109375" style="1" customWidth="1"/>
    <col min="6923" max="6923" width="13.28515625" style="1" customWidth="1"/>
    <col min="6924" max="7166" width="8.85546875" style="1"/>
    <col min="7167" max="7167" width="13.7109375" style="1" customWidth="1"/>
    <col min="7168" max="7168" width="14.28515625" style="1" customWidth="1"/>
    <col min="7169" max="7169" width="27.7109375" style="1" customWidth="1"/>
    <col min="7170" max="7170" width="19.140625" style="1" customWidth="1"/>
    <col min="7171" max="7171" width="23.28515625" style="1" customWidth="1"/>
    <col min="7172" max="7172" width="20.7109375" style="1" customWidth="1"/>
    <col min="7173" max="7173" width="23.140625" style="1" customWidth="1"/>
    <col min="7174" max="7174" width="24" style="1" customWidth="1"/>
    <col min="7175" max="7175" width="17" style="1" customWidth="1"/>
    <col min="7176" max="7176" width="8.85546875" style="1"/>
    <col min="7177" max="7177" width="16" style="1" customWidth="1"/>
    <col min="7178" max="7178" width="16.7109375" style="1" customWidth="1"/>
    <col min="7179" max="7179" width="13.28515625" style="1" customWidth="1"/>
    <col min="7180" max="7422" width="8.85546875" style="1"/>
    <col min="7423" max="7423" width="13.7109375" style="1" customWidth="1"/>
    <col min="7424" max="7424" width="14.28515625" style="1" customWidth="1"/>
    <col min="7425" max="7425" width="27.7109375" style="1" customWidth="1"/>
    <col min="7426" max="7426" width="19.140625" style="1" customWidth="1"/>
    <col min="7427" max="7427" width="23.28515625" style="1" customWidth="1"/>
    <col min="7428" max="7428" width="20.7109375" style="1" customWidth="1"/>
    <col min="7429" max="7429" width="23.140625" style="1" customWidth="1"/>
    <col min="7430" max="7430" width="24" style="1" customWidth="1"/>
    <col min="7431" max="7431" width="17" style="1" customWidth="1"/>
    <col min="7432" max="7432" width="8.85546875" style="1"/>
    <col min="7433" max="7433" width="16" style="1" customWidth="1"/>
    <col min="7434" max="7434" width="16.7109375" style="1" customWidth="1"/>
    <col min="7435" max="7435" width="13.28515625" style="1" customWidth="1"/>
    <col min="7436" max="7678" width="8.85546875" style="1"/>
    <col min="7679" max="7679" width="13.7109375" style="1" customWidth="1"/>
    <col min="7680" max="7680" width="14.28515625" style="1" customWidth="1"/>
    <col min="7681" max="7681" width="27.7109375" style="1" customWidth="1"/>
    <col min="7682" max="7682" width="19.140625" style="1" customWidth="1"/>
    <col min="7683" max="7683" width="23.28515625" style="1" customWidth="1"/>
    <col min="7684" max="7684" width="20.7109375" style="1" customWidth="1"/>
    <col min="7685" max="7685" width="23.140625" style="1" customWidth="1"/>
    <col min="7686" max="7686" width="24" style="1" customWidth="1"/>
    <col min="7687" max="7687" width="17" style="1" customWidth="1"/>
    <col min="7688" max="7688" width="8.85546875" style="1"/>
    <col min="7689" max="7689" width="16" style="1" customWidth="1"/>
    <col min="7690" max="7690" width="16.7109375" style="1" customWidth="1"/>
    <col min="7691" max="7691" width="13.28515625" style="1" customWidth="1"/>
    <col min="7692" max="7934" width="8.85546875" style="1"/>
    <col min="7935" max="7935" width="13.7109375" style="1" customWidth="1"/>
    <col min="7936" max="7936" width="14.28515625" style="1" customWidth="1"/>
    <col min="7937" max="7937" width="27.7109375" style="1" customWidth="1"/>
    <col min="7938" max="7938" width="19.140625" style="1" customWidth="1"/>
    <col min="7939" max="7939" width="23.28515625" style="1" customWidth="1"/>
    <col min="7940" max="7940" width="20.7109375" style="1" customWidth="1"/>
    <col min="7941" max="7941" width="23.140625" style="1" customWidth="1"/>
    <col min="7942" max="7942" width="24" style="1" customWidth="1"/>
    <col min="7943" max="7943" width="17" style="1" customWidth="1"/>
    <col min="7944" max="7944" width="8.85546875" style="1"/>
    <col min="7945" max="7945" width="16" style="1" customWidth="1"/>
    <col min="7946" max="7946" width="16.7109375" style="1" customWidth="1"/>
    <col min="7947" max="7947" width="13.28515625" style="1" customWidth="1"/>
    <col min="7948" max="8190" width="8.85546875" style="1"/>
    <col min="8191" max="8191" width="13.7109375" style="1" customWidth="1"/>
    <col min="8192" max="8192" width="14.28515625" style="1" customWidth="1"/>
    <col min="8193" max="8193" width="27.7109375" style="1" customWidth="1"/>
    <col min="8194" max="8194" width="19.140625" style="1" customWidth="1"/>
    <col min="8195" max="8195" width="23.28515625" style="1" customWidth="1"/>
    <col min="8196" max="8196" width="20.7109375" style="1" customWidth="1"/>
    <col min="8197" max="8197" width="23.140625" style="1" customWidth="1"/>
    <col min="8198" max="8198" width="24" style="1" customWidth="1"/>
    <col min="8199" max="8199" width="17" style="1" customWidth="1"/>
    <col min="8200" max="8200" width="8.85546875" style="1"/>
    <col min="8201" max="8201" width="16" style="1" customWidth="1"/>
    <col min="8202" max="8202" width="16.7109375" style="1" customWidth="1"/>
    <col min="8203" max="8203" width="13.28515625" style="1" customWidth="1"/>
    <col min="8204" max="8446" width="8.85546875" style="1"/>
    <col min="8447" max="8447" width="13.7109375" style="1" customWidth="1"/>
    <col min="8448" max="8448" width="14.28515625" style="1" customWidth="1"/>
    <col min="8449" max="8449" width="27.7109375" style="1" customWidth="1"/>
    <col min="8450" max="8450" width="19.140625" style="1" customWidth="1"/>
    <col min="8451" max="8451" width="23.28515625" style="1" customWidth="1"/>
    <col min="8452" max="8452" width="20.7109375" style="1" customWidth="1"/>
    <col min="8453" max="8453" width="23.140625" style="1" customWidth="1"/>
    <col min="8454" max="8454" width="24" style="1" customWidth="1"/>
    <col min="8455" max="8455" width="17" style="1" customWidth="1"/>
    <col min="8456" max="8456" width="8.85546875" style="1"/>
    <col min="8457" max="8457" width="16" style="1" customWidth="1"/>
    <col min="8458" max="8458" width="16.7109375" style="1" customWidth="1"/>
    <col min="8459" max="8459" width="13.28515625" style="1" customWidth="1"/>
    <col min="8460" max="8702" width="8.85546875" style="1"/>
    <col min="8703" max="8703" width="13.7109375" style="1" customWidth="1"/>
    <col min="8704" max="8704" width="14.28515625" style="1" customWidth="1"/>
    <col min="8705" max="8705" width="27.7109375" style="1" customWidth="1"/>
    <col min="8706" max="8706" width="19.140625" style="1" customWidth="1"/>
    <col min="8707" max="8707" width="23.28515625" style="1" customWidth="1"/>
    <col min="8708" max="8708" width="20.7109375" style="1" customWidth="1"/>
    <col min="8709" max="8709" width="23.140625" style="1" customWidth="1"/>
    <col min="8710" max="8710" width="24" style="1" customWidth="1"/>
    <col min="8711" max="8711" width="17" style="1" customWidth="1"/>
    <col min="8712" max="8712" width="8.85546875" style="1"/>
    <col min="8713" max="8713" width="16" style="1" customWidth="1"/>
    <col min="8714" max="8714" width="16.7109375" style="1" customWidth="1"/>
    <col min="8715" max="8715" width="13.28515625" style="1" customWidth="1"/>
    <col min="8716" max="8958" width="8.85546875" style="1"/>
    <col min="8959" max="8959" width="13.7109375" style="1" customWidth="1"/>
    <col min="8960" max="8960" width="14.28515625" style="1" customWidth="1"/>
    <col min="8961" max="8961" width="27.7109375" style="1" customWidth="1"/>
    <col min="8962" max="8962" width="19.140625" style="1" customWidth="1"/>
    <col min="8963" max="8963" width="23.28515625" style="1" customWidth="1"/>
    <col min="8964" max="8964" width="20.7109375" style="1" customWidth="1"/>
    <col min="8965" max="8965" width="23.140625" style="1" customWidth="1"/>
    <col min="8966" max="8966" width="24" style="1" customWidth="1"/>
    <col min="8967" max="8967" width="17" style="1" customWidth="1"/>
    <col min="8968" max="8968" width="8.85546875" style="1"/>
    <col min="8969" max="8969" width="16" style="1" customWidth="1"/>
    <col min="8970" max="8970" width="16.7109375" style="1" customWidth="1"/>
    <col min="8971" max="8971" width="13.28515625" style="1" customWidth="1"/>
    <col min="8972" max="9214" width="8.85546875" style="1"/>
    <col min="9215" max="9215" width="13.7109375" style="1" customWidth="1"/>
    <col min="9216" max="9216" width="14.28515625" style="1" customWidth="1"/>
    <col min="9217" max="9217" width="27.7109375" style="1" customWidth="1"/>
    <col min="9218" max="9218" width="19.140625" style="1" customWidth="1"/>
    <col min="9219" max="9219" width="23.28515625" style="1" customWidth="1"/>
    <col min="9220" max="9220" width="20.7109375" style="1" customWidth="1"/>
    <col min="9221" max="9221" width="23.140625" style="1" customWidth="1"/>
    <col min="9222" max="9222" width="24" style="1" customWidth="1"/>
    <col min="9223" max="9223" width="17" style="1" customWidth="1"/>
    <col min="9224" max="9224" width="8.85546875" style="1"/>
    <col min="9225" max="9225" width="16" style="1" customWidth="1"/>
    <col min="9226" max="9226" width="16.7109375" style="1" customWidth="1"/>
    <col min="9227" max="9227" width="13.28515625" style="1" customWidth="1"/>
    <col min="9228" max="9470" width="8.85546875" style="1"/>
    <col min="9471" max="9471" width="13.7109375" style="1" customWidth="1"/>
    <col min="9472" max="9472" width="14.28515625" style="1" customWidth="1"/>
    <col min="9473" max="9473" width="27.7109375" style="1" customWidth="1"/>
    <col min="9474" max="9474" width="19.140625" style="1" customWidth="1"/>
    <col min="9475" max="9475" width="23.28515625" style="1" customWidth="1"/>
    <col min="9476" max="9476" width="20.7109375" style="1" customWidth="1"/>
    <col min="9477" max="9477" width="23.140625" style="1" customWidth="1"/>
    <col min="9478" max="9478" width="24" style="1" customWidth="1"/>
    <col min="9479" max="9479" width="17" style="1" customWidth="1"/>
    <col min="9480" max="9480" width="8.85546875" style="1"/>
    <col min="9481" max="9481" width="16" style="1" customWidth="1"/>
    <col min="9482" max="9482" width="16.7109375" style="1" customWidth="1"/>
    <col min="9483" max="9483" width="13.28515625" style="1" customWidth="1"/>
    <col min="9484" max="9726" width="8.85546875" style="1"/>
    <col min="9727" max="9727" width="13.7109375" style="1" customWidth="1"/>
    <col min="9728" max="9728" width="14.28515625" style="1" customWidth="1"/>
    <col min="9729" max="9729" width="27.7109375" style="1" customWidth="1"/>
    <col min="9730" max="9730" width="19.140625" style="1" customWidth="1"/>
    <col min="9731" max="9731" width="23.28515625" style="1" customWidth="1"/>
    <col min="9732" max="9732" width="20.7109375" style="1" customWidth="1"/>
    <col min="9733" max="9733" width="23.140625" style="1" customWidth="1"/>
    <col min="9734" max="9734" width="24" style="1" customWidth="1"/>
    <col min="9735" max="9735" width="17" style="1" customWidth="1"/>
    <col min="9736" max="9736" width="8.85546875" style="1"/>
    <col min="9737" max="9737" width="16" style="1" customWidth="1"/>
    <col min="9738" max="9738" width="16.7109375" style="1" customWidth="1"/>
    <col min="9739" max="9739" width="13.28515625" style="1" customWidth="1"/>
    <col min="9740" max="9982" width="8.85546875" style="1"/>
    <col min="9983" max="9983" width="13.7109375" style="1" customWidth="1"/>
    <col min="9984" max="9984" width="14.28515625" style="1" customWidth="1"/>
    <col min="9985" max="9985" width="27.7109375" style="1" customWidth="1"/>
    <col min="9986" max="9986" width="19.140625" style="1" customWidth="1"/>
    <col min="9987" max="9987" width="23.28515625" style="1" customWidth="1"/>
    <col min="9988" max="9988" width="20.7109375" style="1" customWidth="1"/>
    <col min="9989" max="9989" width="23.140625" style="1" customWidth="1"/>
    <col min="9990" max="9990" width="24" style="1" customWidth="1"/>
    <col min="9991" max="9991" width="17" style="1" customWidth="1"/>
    <col min="9992" max="9992" width="8.85546875" style="1"/>
    <col min="9993" max="9993" width="16" style="1" customWidth="1"/>
    <col min="9994" max="9994" width="16.7109375" style="1" customWidth="1"/>
    <col min="9995" max="9995" width="13.28515625" style="1" customWidth="1"/>
    <col min="9996" max="10238" width="8.85546875" style="1"/>
    <col min="10239" max="10239" width="13.7109375" style="1" customWidth="1"/>
    <col min="10240" max="10240" width="14.28515625" style="1" customWidth="1"/>
    <col min="10241" max="10241" width="27.7109375" style="1" customWidth="1"/>
    <col min="10242" max="10242" width="19.140625" style="1" customWidth="1"/>
    <col min="10243" max="10243" width="23.28515625" style="1" customWidth="1"/>
    <col min="10244" max="10244" width="20.7109375" style="1" customWidth="1"/>
    <col min="10245" max="10245" width="23.140625" style="1" customWidth="1"/>
    <col min="10246" max="10246" width="24" style="1" customWidth="1"/>
    <col min="10247" max="10247" width="17" style="1" customWidth="1"/>
    <col min="10248" max="10248" width="8.85546875" style="1"/>
    <col min="10249" max="10249" width="16" style="1" customWidth="1"/>
    <col min="10250" max="10250" width="16.7109375" style="1" customWidth="1"/>
    <col min="10251" max="10251" width="13.28515625" style="1" customWidth="1"/>
    <col min="10252" max="10494" width="8.85546875" style="1"/>
    <col min="10495" max="10495" width="13.7109375" style="1" customWidth="1"/>
    <col min="10496" max="10496" width="14.28515625" style="1" customWidth="1"/>
    <col min="10497" max="10497" width="27.7109375" style="1" customWidth="1"/>
    <col min="10498" max="10498" width="19.140625" style="1" customWidth="1"/>
    <col min="10499" max="10499" width="23.28515625" style="1" customWidth="1"/>
    <col min="10500" max="10500" width="20.7109375" style="1" customWidth="1"/>
    <col min="10501" max="10501" width="23.140625" style="1" customWidth="1"/>
    <col min="10502" max="10502" width="24" style="1" customWidth="1"/>
    <col min="10503" max="10503" width="17" style="1" customWidth="1"/>
    <col min="10504" max="10504" width="8.85546875" style="1"/>
    <col min="10505" max="10505" width="16" style="1" customWidth="1"/>
    <col min="10506" max="10506" width="16.7109375" style="1" customWidth="1"/>
    <col min="10507" max="10507" width="13.28515625" style="1" customWidth="1"/>
    <col min="10508" max="10750" width="8.85546875" style="1"/>
    <col min="10751" max="10751" width="13.7109375" style="1" customWidth="1"/>
    <col min="10752" max="10752" width="14.28515625" style="1" customWidth="1"/>
    <col min="10753" max="10753" width="27.7109375" style="1" customWidth="1"/>
    <col min="10754" max="10754" width="19.140625" style="1" customWidth="1"/>
    <col min="10755" max="10755" width="23.28515625" style="1" customWidth="1"/>
    <col min="10756" max="10756" width="20.7109375" style="1" customWidth="1"/>
    <col min="10757" max="10757" width="23.140625" style="1" customWidth="1"/>
    <col min="10758" max="10758" width="24" style="1" customWidth="1"/>
    <col min="10759" max="10759" width="17" style="1" customWidth="1"/>
    <col min="10760" max="10760" width="8.85546875" style="1"/>
    <col min="10761" max="10761" width="16" style="1" customWidth="1"/>
    <col min="10762" max="10762" width="16.7109375" style="1" customWidth="1"/>
    <col min="10763" max="10763" width="13.28515625" style="1" customWidth="1"/>
    <col min="10764" max="11006" width="8.85546875" style="1"/>
    <col min="11007" max="11007" width="13.7109375" style="1" customWidth="1"/>
    <col min="11008" max="11008" width="14.28515625" style="1" customWidth="1"/>
    <col min="11009" max="11009" width="27.7109375" style="1" customWidth="1"/>
    <col min="11010" max="11010" width="19.140625" style="1" customWidth="1"/>
    <col min="11011" max="11011" width="23.28515625" style="1" customWidth="1"/>
    <col min="11012" max="11012" width="20.7109375" style="1" customWidth="1"/>
    <col min="11013" max="11013" width="23.140625" style="1" customWidth="1"/>
    <col min="11014" max="11014" width="24" style="1" customWidth="1"/>
    <col min="11015" max="11015" width="17" style="1" customWidth="1"/>
    <col min="11016" max="11016" width="8.85546875" style="1"/>
    <col min="11017" max="11017" width="16" style="1" customWidth="1"/>
    <col min="11018" max="11018" width="16.7109375" style="1" customWidth="1"/>
    <col min="11019" max="11019" width="13.28515625" style="1" customWidth="1"/>
    <col min="11020" max="11262" width="8.85546875" style="1"/>
    <col min="11263" max="11263" width="13.7109375" style="1" customWidth="1"/>
    <col min="11264" max="11264" width="14.28515625" style="1" customWidth="1"/>
    <col min="11265" max="11265" width="27.7109375" style="1" customWidth="1"/>
    <col min="11266" max="11266" width="19.140625" style="1" customWidth="1"/>
    <col min="11267" max="11267" width="23.28515625" style="1" customWidth="1"/>
    <col min="11268" max="11268" width="20.7109375" style="1" customWidth="1"/>
    <col min="11269" max="11269" width="23.140625" style="1" customWidth="1"/>
    <col min="11270" max="11270" width="24" style="1" customWidth="1"/>
    <col min="11271" max="11271" width="17" style="1" customWidth="1"/>
    <col min="11272" max="11272" width="8.85546875" style="1"/>
    <col min="11273" max="11273" width="16" style="1" customWidth="1"/>
    <col min="11274" max="11274" width="16.7109375" style="1" customWidth="1"/>
    <col min="11275" max="11275" width="13.28515625" style="1" customWidth="1"/>
    <col min="11276" max="11518" width="8.85546875" style="1"/>
    <col min="11519" max="11519" width="13.7109375" style="1" customWidth="1"/>
    <col min="11520" max="11520" width="14.28515625" style="1" customWidth="1"/>
    <col min="11521" max="11521" width="27.7109375" style="1" customWidth="1"/>
    <col min="11522" max="11522" width="19.140625" style="1" customWidth="1"/>
    <col min="11523" max="11523" width="23.28515625" style="1" customWidth="1"/>
    <col min="11524" max="11524" width="20.7109375" style="1" customWidth="1"/>
    <col min="11525" max="11525" width="23.140625" style="1" customWidth="1"/>
    <col min="11526" max="11526" width="24" style="1" customWidth="1"/>
    <col min="11527" max="11527" width="17" style="1" customWidth="1"/>
    <col min="11528" max="11528" width="8.85546875" style="1"/>
    <col min="11529" max="11529" width="16" style="1" customWidth="1"/>
    <col min="11530" max="11530" width="16.7109375" style="1" customWidth="1"/>
    <col min="11531" max="11531" width="13.28515625" style="1" customWidth="1"/>
    <col min="11532" max="11774" width="8.85546875" style="1"/>
    <col min="11775" max="11775" width="13.7109375" style="1" customWidth="1"/>
    <col min="11776" max="11776" width="14.28515625" style="1" customWidth="1"/>
    <col min="11777" max="11777" width="27.7109375" style="1" customWidth="1"/>
    <col min="11778" max="11778" width="19.140625" style="1" customWidth="1"/>
    <col min="11779" max="11779" width="23.28515625" style="1" customWidth="1"/>
    <col min="11780" max="11780" width="20.7109375" style="1" customWidth="1"/>
    <col min="11781" max="11781" width="23.140625" style="1" customWidth="1"/>
    <col min="11782" max="11782" width="24" style="1" customWidth="1"/>
    <col min="11783" max="11783" width="17" style="1" customWidth="1"/>
    <col min="11784" max="11784" width="8.85546875" style="1"/>
    <col min="11785" max="11785" width="16" style="1" customWidth="1"/>
    <col min="11786" max="11786" width="16.7109375" style="1" customWidth="1"/>
    <col min="11787" max="11787" width="13.28515625" style="1" customWidth="1"/>
    <col min="11788" max="12030" width="8.85546875" style="1"/>
    <col min="12031" max="12031" width="13.7109375" style="1" customWidth="1"/>
    <col min="12032" max="12032" width="14.28515625" style="1" customWidth="1"/>
    <col min="12033" max="12033" width="27.7109375" style="1" customWidth="1"/>
    <col min="12034" max="12034" width="19.140625" style="1" customWidth="1"/>
    <col min="12035" max="12035" width="23.28515625" style="1" customWidth="1"/>
    <col min="12036" max="12036" width="20.7109375" style="1" customWidth="1"/>
    <col min="12037" max="12037" width="23.140625" style="1" customWidth="1"/>
    <col min="12038" max="12038" width="24" style="1" customWidth="1"/>
    <col min="12039" max="12039" width="17" style="1" customWidth="1"/>
    <col min="12040" max="12040" width="8.85546875" style="1"/>
    <col min="12041" max="12041" width="16" style="1" customWidth="1"/>
    <col min="12042" max="12042" width="16.7109375" style="1" customWidth="1"/>
    <col min="12043" max="12043" width="13.28515625" style="1" customWidth="1"/>
    <col min="12044" max="12286" width="8.85546875" style="1"/>
    <col min="12287" max="12287" width="13.7109375" style="1" customWidth="1"/>
    <col min="12288" max="12288" width="14.28515625" style="1" customWidth="1"/>
    <col min="12289" max="12289" width="27.7109375" style="1" customWidth="1"/>
    <col min="12290" max="12290" width="19.140625" style="1" customWidth="1"/>
    <col min="12291" max="12291" width="23.28515625" style="1" customWidth="1"/>
    <col min="12292" max="12292" width="20.7109375" style="1" customWidth="1"/>
    <col min="12293" max="12293" width="23.140625" style="1" customWidth="1"/>
    <col min="12294" max="12294" width="24" style="1" customWidth="1"/>
    <col min="12295" max="12295" width="17" style="1" customWidth="1"/>
    <col min="12296" max="12296" width="8.85546875" style="1"/>
    <col min="12297" max="12297" width="16" style="1" customWidth="1"/>
    <col min="12298" max="12298" width="16.7109375" style="1" customWidth="1"/>
    <col min="12299" max="12299" width="13.28515625" style="1" customWidth="1"/>
    <col min="12300" max="12542" width="8.85546875" style="1"/>
    <col min="12543" max="12543" width="13.7109375" style="1" customWidth="1"/>
    <col min="12544" max="12544" width="14.28515625" style="1" customWidth="1"/>
    <col min="12545" max="12545" width="27.7109375" style="1" customWidth="1"/>
    <col min="12546" max="12546" width="19.140625" style="1" customWidth="1"/>
    <col min="12547" max="12547" width="23.28515625" style="1" customWidth="1"/>
    <col min="12548" max="12548" width="20.7109375" style="1" customWidth="1"/>
    <col min="12549" max="12549" width="23.140625" style="1" customWidth="1"/>
    <col min="12550" max="12550" width="24" style="1" customWidth="1"/>
    <col min="12551" max="12551" width="17" style="1" customWidth="1"/>
    <col min="12552" max="12552" width="8.85546875" style="1"/>
    <col min="12553" max="12553" width="16" style="1" customWidth="1"/>
    <col min="12554" max="12554" width="16.7109375" style="1" customWidth="1"/>
    <col min="12555" max="12555" width="13.28515625" style="1" customWidth="1"/>
    <col min="12556" max="12798" width="8.85546875" style="1"/>
    <col min="12799" max="12799" width="13.7109375" style="1" customWidth="1"/>
    <col min="12800" max="12800" width="14.28515625" style="1" customWidth="1"/>
    <col min="12801" max="12801" width="27.7109375" style="1" customWidth="1"/>
    <col min="12802" max="12802" width="19.140625" style="1" customWidth="1"/>
    <col min="12803" max="12803" width="23.28515625" style="1" customWidth="1"/>
    <col min="12804" max="12804" width="20.7109375" style="1" customWidth="1"/>
    <col min="12805" max="12805" width="23.140625" style="1" customWidth="1"/>
    <col min="12806" max="12806" width="24" style="1" customWidth="1"/>
    <col min="12807" max="12807" width="17" style="1" customWidth="1"/>
    <col min="12808" max="12808" width="8.85546875" style="1"/>
    <col min="12809" max="12809" width="16" style="1" customWidth="1"/>
    <col min="12810" max="12810" width="16.7109375" style="1" customWidth="1"/>
    <col min="12811" max="12811" width="13.28515625" style="1" customWidth="1"/>
    <col min="12812" max="13054" width="8.85546875" style="1"/>
    <col min="13055" max="13055" width="13.7109375" style="1" customWidth="1"/>
    <col min="13056" max="13056" width="14.28515625" style="1" customWidth="1"/>
    <col min="13057" max="13057" width="27.7109375" style="1" customWidth="1"/>
    <col min="13058" max="13058" width="19.140625" style="1" customWidth="1"/>
    <col min="13059" max="13059" width="23.28515625" style="1" customWidth="1"/>
    <col min="13060" max="13060" width="20.7109375" style="1" customWidth="1"/>
    <col min="13061" max="13061" width="23.140625" style="1" customWidth="1"/>
    <col min="13062" max="13062" width="24" style="1" customWidth="1"/>
    <col min="13063" max="13063" width="17" style="1" customWidth="1"/>
    <col min="13064" max="13064" width="8.85546875" style="1"/>
    <col min="13065" max="13065" width="16" style="1" customWidth="1"/>
    <col min="13066" max="13066" width="16.7109375" style="1" customWidth="1"/>
    <col min="13067" max="13067" width="13.28515625" style="1" customWidth="1"/>
    <col min="13068" max="13310" width="8.85546875" style="1"/>
    <col min="13311" max="13311" width="13.7109375" style="1" customWidth="1"/>
    <col min="13312" max="13312" width="14.28515625" style="1" customWidth="1"/>
    <col min="13313" max="13313" width="27.7109375" style="1" customWidth="1"/>
    <col min="13314" max="13314" width="19.140625" style="1" customWidth="1"/>
    <col min="13315" max="13315" width="23.28515625" style="1" customWidth="1"/>
    <col min="13316" max="13316" width="20.7109375" style="1" customWidth="1"/>
    <col min="13317" max="13317" width="23.140625" style="1" customWidth="1"/>
    <col min="13318" max="13318" width="24" style="1" customWidth="1"/>
    <col min="13319" max="13319" width="17" style="1" customWidth="1"/>
    <col min="13320" max="13320" width="8.85546875" style="1"/>
    <col min="13321" max="13321" width="16" style="1" customWidth="1"/>
    <col min="13322" max="13322" width="16.7109375" style="1" customWidth="1"/>
    <col min="13323" max="13323" width="13.28515625" style="1" customWidth="1"/>
    <col min="13324" max="13566" width="8.85546875" style="1"/>
    <col min="13567" max="13567" width="13.7109375" style="1" customWidth="1"/>
    <col min="13568" max="13568" width="14.28515625" style="1" customWidth="1"/>
    <col min="13569" max="13569" width="27.7109375" style="1" customWidth="1"/>
    <col min="13570" max="13570" width="19.140625" style="1" customWidth="1"/>
    <col min="13571" max="13571" width="23.28515625" style="1" customWidth="1"/>
    <col min="13572" max="13572" width="20.7109375" style="1" customWidth="1"/>
    <col min="13573" max="13573" width="23.140625" style="1" customWidth="1"/>
    <col min="13574" max="13574" width="24" style="1" customWidth="1"/>
    <col min="13575" max="13575" width="17" style="1" customWidth="1"/>
    <col min="13576" max="13576" width="8.85546875" style="1"/>
    <col min="13577" max="13577" width="16" style="1" customWidth="1"/>
    <col min="13578" max="13578" width="16.7109375" style="1" customWidth="1"/>
    <col min="13579" max="13579" width="13.28515625" style="1" customWidth="1"/>
    <col min="13580" max="13822" width="8.85546875" style="1"/>
    <col min="13823" max="13823" width="13.7109375" style="1" customWidth="1"/>
    <col min="13824" max="13824" width="14.28515625" style="1" customWidth="1"/>
    <col min="13825" max="13825" width="27.7109375" style="1" customWidth="1"/>
    <col min="13826" max="13826" width="19.140625" style="1" customWidth="1"/>
    <col min="13827" max="13827" width="23.28515625" style="1" customWidth="1"/>
    <col min="13828" max="13828" width="20.7109375" style="1" customWidth="1"/>
    <col min="13829" max="13829" width="23.140625" style="1" customWidth="1"/>
    <col min="13830" max="13830" width="24" style="1" customWidth="1"/>
    <col min="13831" max="13831" width="17" style="1" customWidth="1"/>
    <col min="13832" max="13832" width="8.85546875" style="1"/>
    <col min="13833" max="13833" width="16" style="1" customWidth="1"/>
    <col min="13834" max="13834" width="16.7109375" style="1" customWidth="1"/>
    <col min="13835" max="13835" width="13.28515625" style="1" customWidth="1"/>
    <col min="13836" max="14078" width="8.85546875" style="1"/>
    <col min="14079" max="14079" width="13.7109375" style="1" customWidth="1"/>
    <col min="14080" max="14080" width="14.28515625" style="1" customWidth="1"/>
    <col min="14081" max="14081" width="27.7109375" style="1" customWidth="1"/>
    <col min="14082" max="14082" width="19.140625" style="1" customWidth="1"/>
    <col min="14083" max="14083" width="23.28515625" style="1" customWidth="1"/>
    <col min="14084" max="14084" width="20.7109375" style="1" customWidth="1"/>
    <col min="14085" max="14085" width="23.140625" style="1" customWidth="1"/>
    <col min="14086" max="14086" width="24" style="1" customWidth="1"/>
    <col min="14087" max="14087" width="17" style="1" customWidth="1"/>
    <col min="14088" max="14088" width="8.85546875" style="1"/>
    <col min="14089" max="14089" width="16" style="1" customWidth="1"/>
    <col min="14090" max="14090" width="16.7109375" style="1" customWidth="1"/>
    <col min="14091" max="14091" width="13.28515625" style="1" customWidth="1"/>
    <col min="14092" max="14334" width="8.85546875" style="1"/>
    <col min="14335" max="14335" width="13.7109375" style="1" customWidth="1"/>
    <col min="14336" max="14336" width="14.28515625" style="1" customWidth="1"/>
    <col min="14337" max="14337" width="27.7109375" style="1" customWidth="1"/>
    <col min="14338" max="14338" width="19.140625" style="1" customWidth="1"/>
    <col min="14339" max="14339" width="23.28515625" style="1" customWidth="1"/>
    <col min="14340" max="14340" width="20.7109375" style="1" customWidth="1"/>
    <col min="14341" max="14341" width="23.140625" style="1" customWidth="1"/>
    <col min="14342" max="14342" width="24" style="1" customWidth="1"/>
    <col min="14343" max="14343" width="17" style="1" customWidth="1"/>
    <col min="14344" max="14344" width="8.85546875" style="1"/>
    <col min="14345" max="14345" width="16" style="1" customWidth="1"/>
    <col min="14346" max="14346" width="16.7109375" style="1" customWidth="1"/>
    <col min="14347" max="14347" width="13.28515625" style="1" customWidth="1"/>
    <col min="14348" max="14590" width="8.85546875" style="1"/>
    <col min="14591" max="14591" width="13.7109375" style="1" customWidth="1"/>
    <col min="14592" max="14592" width="14.28515625" style="1" customWidth="1"/>
    <col min="14593" max="14593" width="27.7109375" style="1" customWidth="1"/>
    <col min="14594" max="14594" width="19.140625" style="1" customWidth="1"/>
    <col min="14595" max="14595" width="23.28515625" style="1" customWidth="1"/>
    <col min="14596" max="14596" width="20.7109375" style="1" customWidth="1"/>
    <col min="14597" max="14597" width="23.140625" style="1" customWidth="1"/>
    <col min="14598" max="14598" width="24" style="1" customWidth="1"/>
    <col min="14599" max="14599" width="17" style="1" customWidth="1"/>
    <col min="14600" max="14600" width="8.85546875" style="1"/>
    <col min="14601" max="14601" width="16" style="1" customWidth="1"/>
    <col min="14602" max="14602" width="16.7109375" style="1" customWidth="1"/>
    <col min="14603" max="14603" width="13.28515625" style="1" customWidth="1"/>
    <col min="14604" max="14846" width="8.85546875" style="1"/>
    <col min="14847" max="14847" width="13.7109375" style="1" customWidth="1"/>
    <col min="14848" max="14848" width="14.28515625" style="1" customWidth="1"/>
    <col min="14849" max="14849" width="27.7109375" style="1" customWidth="1"/>
    <col min="14850" max="14850" width="19.140625" style="1" customWidth="1"/>
    <col min="14851" max="14851" width="23.28515625" style="1" customWidth="1"/>
    <col min="14852" max="14852" width="20.7109375" style="1" customWidth="1"/>
    <col min="14853" max="14853" width="23.140625" style="1" customWidth="1"/>
    <col min="14854" max="14854" width="24" style="1" customWidth="1"/>
    <col min="14855" max="14855" width="17" style="1" customWidth="1"/>
    <col min="14856" max="14856" width="8.85546875" style="1"/>
    <col min="14857" max="14857" width="16" style="1" customWidth="1"/>
    <col min="14858" max="14858" width="16.7109375" style="1" customWidth="1"/>
    <col min="14859" max="14859" width="13.28515625" style="1" customWidth="1"/>
    <col min="14860" max="15102" width="8.85546875" style="1"/>
    <col min="15103" max="15103" width="13.7109375" style="1" customWidth="1"/>
    <col min="15104" max="15104" width="14.28515625" style="1" customWidth="1"/>
    <col min="15105" max="15105" width="27.7109375" style="1" customWidth="1"/>
    <col min="15106" max="15106" width="19.140625" style="1" customWidth="1"/>
    <col min="15107" max="15107" width="23.28515625" style="1" customWidth="1"/>
    <col min="15108" max="15108" width="20.7109375" style="1" customWidth="1"/>
    <col min="15109" max="15109" width="23.140625" style="1" customWidth="1"/>
    <col min="15110" max="15110" width="24" style="1" customWidth="1"/>
    <col min="15111" max="15111" width="17" style="1" customWidth="1"/>
    <col min="15112" max="15112" width="8.85546875" style="1"/>
    <col min="15113" max="15113" width="16" style="1" customWidth="1"/>
    <col min="15114" max="15114" width="16.7109375" style="1" customWidth="1"/>
    <col min="15115" max="15115" width="13.28515625" style="1" customWidth="1"/>
    <col min="15116" max="15358" width="8.85546875" style="1"/>
    <col min="15359" max="15359" width="13.7109375" style="1" customWidth="1"/>
    <col min="15360" max="15360" width="14.28515625" style="1" customWidth="1"/>
    <col min="15361" max="15361" width="27.7109375" style="1" customWidth="1"/>
    <col min="15362" max="15362" width="19.140625" style="1" customWidth="1"/>
    <col min="15363" max="15363" width="23.28515625" style="1" customWidth="1"/>
    <col min="15364" max="15364" width="20.7109375" style="1" customWidth="1"/>
    <col min="15365" max="15365" width="23.140625" style="1" customWidth="1"/>
    <col min="15366" max="15366" width="24" style="1" customWidth="1"/>
    <col min="15367" max="15367" width="17" style="1" customWidth="1"/>
    <col min="15368" max="15368" width="8.85546875" style="1"/>
    <col min="15369" max="15369" width="16" style="1" customWidth="1"/>
    <col min="15370" max="15370" width="16.7109375" style="1" customWidth="1"/>
    <col min="15371" max="15371" width="13.28515625" style="1" customWidth="1"/>
    <col min="15372" max="15614" width="8.85546875" style="1"/>
    <col min="15615" max="15615" width="13.7109375" style="1" customWidth="1"/>
    <col min="15616" max="15616" width="14.28515625" style="1" customWidth="1"/>
    <col min="15617" max="15617" width="27.7109375" style="1" customWidth="1"/>
    <col min="15618" max="15618" width="19.140625" style="1" customWidth="1"/>
    <col min="15619" max="15619" width="23.28515625" style="1" customWidth="1"/>
    <col min="15620" max="15620" width="20.7109375" style="1" customWidth="1"/>
    <col min="15621" max="15621" width="23.140625" style="1" customWidth="1"/>
    <col min="15622" max="15622" width="24" style="1" customWidth="1"/>
    <col min="15623" max="15623" width="17" style="1" customWidth="1"/>
    <col min="15624" max="15624" width="8.85546875" style="1"/>
    <col min="15625" max="15625" width="16" style="1" customWidth="1"/>
    <col min="15626" max="15626" width="16.7109375" style="1" customWidth="1"/>
    <col min="15627" max="15627" width="13.28515625" style="1" customWidth="1"/>
    <col min="15628" max="15870" width="8.85546875" style="1"/>
    <col min="15871" max="15871" width="13.7109375" style="1" customWidth="1"/>
    <col min="15872" max="15872" width="14.28515625" style="1" customWidth="1"/>
    <col min="15873" max="15873" width="27.7109375" style="1" customWidth="1"/>
    <col min="15874" max="15874" width="19.140625" style="1" customWidth="1"/>
    <col min="15875" max="15875" width="23.28515625" style="1" customWidth="1"/>
    <col min="15876" max="15876" width="20.7109375" style="1" customWidth="1"/>
    <col min="15877" max="15877" width="23.140625" style="1" customWidth="1"/>
    <col min="15878" max="15878" width="24" style="1" customWidth="1"/>
    <col min="15879" max="15879" width="17" style="1" customWidth="1"/>
    <col min="15880" max="15880" width="8.85546875" style="1"/>
    <col min="15881" max="15881" width="16" style="1" customWidth="1"/>
    <col min="15882" max="15882" width="16.7109375" style="1" customWidth="1"/>
    <col min="15883" max="15883" width="13.28515625" style="1" customWidth="1"/>
    <col min="15884" max="16126" width="8.85546875" style="1"/>
    <col min="16127" max="16127" width="13.7109375" style="1" customWidth="1"/>
    <col min="16128" max="16128" width="14.28515625" style="1" customWidth="1"/>
    <col min="16129" max="16129" width="27.7109375" style="1" customWidth="1"/>
    <col min="16130" max="16130" width="19.140625" style="1" customWidth="1"/>
    <col min="16131" max="16131" width="23.28515625" style="1" customWidth="1"/>
    <col min="16132" max="16132" width="20.7109375" style="1" customWidth="1"/>
    <col min="16133" max="16133" width="23.140625" style="1" customWidth="1"/>
    <col min="16134" max="16134" width="24" style="1" customWidth="1"/>
    <col min="16135" max="16135" width="17" style="1" customWidth="1"/>
    <col min="16136" max="16136" width="8.85546875" style="1"/>
    <col min="16137" max="16137" width="16" style="1" customWidth="1"/>
    <col min="16138" max="16138" width="16.7109375" style="1" customWidth="1"/>
    <col min="16139" max="16139" width="13.28515625" style="1" customWidth="1"/>
    <col min="16140" max="16384" width="8.85546875" style="1"/>
  </cols>
  <sheetData>
    <row r="1" spans="1:18" x14ac:dyDescent="0.25">
      <c r="A1" s="4" t="str">
        <f ca="1">MID(CELL("filename",A1),FIND("]",CELL("filename",A1))+1,255)</f>
        <v>Exogenous Costs</v>
      </c>
    </row>
    <row r="2" spans="1:18" x14ac:dyDescent="0.25">
      <c r="A2" s="316" t="s">
        <v>168</v>
      </c>
    </row>
    <row r="3" spans="1:18" x14ac:dyDescent="0.25">
      <c r="A3" s="4" t="s">
        <v>169</v>
      </c>
    </row>
    <row r="4" spans="1:18" x14ac:dyDescent="0.25">
      <c r="A4" s="316" t="s">
        <v>170</v>
      </c>
      <c r="N4" s="2"/>
    </row>
    <row r="5" spans="1:18" x14ac:dyDescent="0.25">
      <c r="A5" s="21"/>
    </row>
    <row r="6" spans="1:18" ht="15.75" customHeight="1" x14ac:dyDescent="0.2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18" ht="15.75" customHeight="1" thickBot="1" x14ac:dyDescent="0.3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</row>
    <row r="8" spans="1:18" ht="49.5" customHeight="1" x14ac:dyDescent="0.25">
      <c r="A8" s="327" t="s">
        <v>79</v>
      </c>
      <c r="B8" s="328"/>
      <c r="C8" s="329"/>
      <c r="D8" s="330" t="s">
        <v>185</v>
      </c>
      <c r="E8" s="331"/>
      <c r="F8" s="332"/>
      <c r="G8" s="160"/>
      <c r="I8" s="23"/>
    </row>
    <row r="9" spans="1:18" ht="38.25" customHeight="1" x14ac:dyDescent="0.25">
      <c r="A9" s="161" t="s">
        <v>80</v>
      </c>
      <c r="B9" s="162" t="s">
        <v>106</v>
      </c>
      <c r="C9" s="163" t="s">
        <v>81</v>
      </c>
      <c r="D9" s="161" t="s">
        <v>80</v>
      </c>
      <c r="E9" s="162" t="s">
        <v>106</v>
      </c>
      <c r="F9" s="163" t="s">
        <v>81</v>
      </c>
      <c r="G9" s="111" t="s">
        <v>61</v>
      </c>
      <c r="I9" s="56"/>
    </row>
    <row r="10" spans="1:18" ht="15" x14ac:dyDescent="0.25">
      <c r="A10" s="164" t="s">
        <v>82</v>
      </c>
      <c r="B10" s="165">
        <v>0</v>
      </c>
      <c r="C10" s="166"/>
      <c r="D10" s="164" t="s">
        <v>82</v>
      </c>
      <c r="E10" s="165">
        <v>0</v>
      </c>
      <c r="F10" s="166"/>
      <c r="G10" s="52">
        <f>$E$10-$B$10</f>
        <v>0</v>
      </c>
      <c r="H10" s="1"/>
    </row>
    <row r="11" spans="1:18" ht="15" x14ac:dyDescent="0.25">
      <c r="A11" s="164" t="s">
        <v>83</v>
      </c>
      <c r="B11" s="167">
        <v>0</v>
      </c>
      <c r="C11" s="166"/>
      <c r="D11" s="164" t="s">
        <v>83</v>
      </c>
      <c r="E11" s="167">
        <v>0</v>
      </c>
      <c r="F11" s="166"/>
      <c r="G11" s="52">
        <f>$E$11-$B$11</f>
        <v>0</v>
      </c>
      <c r="H11" s="1"/>
    </row>
    <row r="12" spans="1:18" thickBot="1" x14ac:dyDescent="0.3">
      <c r="A12" s="168" t="s">
        <v>84</v>
      </c>
      <c r="B12" s="169">
        <v>0</v>
      </c>
      <c r="C12" s="170"/>
      <c r="D12" s="168" t="s">
        <v>84</v>
      </c>
      <c r="E12" s="169">
        <v>0</v>
      </c>
      <c r="F12" s="170"/>
      <c r="G12" s="53">
        <f>$E$12-$B$12</f>
        <v>0</v>
      </c>
      <c r="H12" s="1"/>
    </row>
    <row r="13" spans="1:18" s="113" customFormat="1" ht="15.75" customHeight="1" x14ac:dyDescent="0.25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</row>
    <row r="14" spans="1:18" x14ac:dyDescent="0.25">
      <c r="A14" s="1"/>
      <c r="B14" s="1"/>
    </row>
    <row r="15" spans="1:18" ht="16.5" thickBot="1" x14ac:dyDescent="0.3">
      <c r="A15" s="1"/>
      <c r="B15" s="1"/>
      <c r="E15" s="321"/>
      <c r="F15" s="321"/>
      <c r="G15" s="321"/>
      <c r="H15" s="321"/>
      <c r="K15" s="29"/>
      <c r="L15" s="29"/>
      <c r="R15" s="29" t="s">
        <v>24</v>
      </c>
    </row>
    <row r="16" spans="1:18" ht="16.149999999999999" customHeight="1" thickBot="1" x14ac:dyDescent="0.3">
      <c r="A16" s="21"/>
      <c r="E16" s="324" t="s">
        <v>107</v>
      </c>
      <c r="F16" s="325"/>
      <c r="G16" s="325"/>
      <c r="H16" s="326"/>
      <c r="I16" s="288"/>
      <c r="J16" s="289"/>
      <c r="K16" s="290"/>
      <c r="L16" s="144"/>
      <c r="M16" s="318" t="s">
        <v>60</v>
      </c>
      <c r="N16" s="319"/>
      <c r="O16" s="320"/>
      <c r="P16" s="109"/>
    </row>
    <row r="17" spans="1:16" ht="105" x14ac:dyDescent="0.25">
      <c r="A17" s="5" t="s">
        <v>3</v>
      </c>
      <c r="B17" s="6" t="s">
        <v>4</v>
      </c>
      <c r="C17" s="6" t="s">
        <v>6</v>
      </c>
      <c r="D17" s="26" t="s">
        <v>7</v>
      </c>
      <c r="E17" s="140" t="s">
        <v>157</v>
      </c>
      <c r="F17" s="6" t="s">
        <v>158</v>
      </c>
      <c r="G17" s="6" t="s">
        <v>159</v>
      </c>
      <c r="H17" s="9" t="s">
        <v>160</v>
      </c>
      <c r="I17" s="285" t="s">
        <v>161</v>
      </c>
      <c r="J17" s="286" t="s">
        <v>162</v>
      </c>
      <c r="K17" s="287" t="s">
        <v>163</v>
      </c>
      <c r="L17" s="111" t="s">
        <v>164</v>
      </c>
      <c r="M17" s="61" t="s">
        <v>57</v>
      </c>
      <c r="N17" s="54" t="s">
        <v>58</v>
      </c>
      <c r="O17" s="55" t="s">
        <v>59</v>
      </c>
      <c r="P17" s="110" t="s">
        <v>67</v>
      </c>
    </row>
    <row r="18" spans="1:16" ht="15" x14ac:dyDescent="0.25">
      <c r="A18" s="12"/>
      <c r="B18" s="11"/>
      <c r="C18" s="11"/>
      <c r="D18" s="25"/>
      <c r="E18" s="7" t="str">
        <f t="shared" ref="E18" si="0">"Col "&amp;COLUMN(E18)-4</f>
        <v>Col 1</v>
      </c>
      <c r="F18" s="3" t="str">
        <f t="shared" ref="F18:P18" si="1">"Col "&amp;COLUMN(F18)-4</f>
        <v>Col 2</v>
      </c>
      <c r="G18" s="3" t="str">
        <f t="shared" si="1"/>
        <v>Col 3</v>
      </c>
      <c r="H18" s="8" t="str">
        <f t="shared" si="1"/>
        <v>Col 4</v>
      </c>
      <c r="I18" s="7" t="str">
        <f t="shared" si="1"/>
        <v>Col 5</v>
      </c>
      <c r="J18" s="3" t="str">
        <f t="shared" si="1"/>
        <v>Col 6</v>
      </c>
      <c r="K18" s="8" t="str">
        <f t="shared" si="1"/>
        <v>Col 7</v>
      </c>
      <c r="L18" s="111" t="str">
        <f t="shared" si="1"/>
        <v>Col 8</v>
      </c>
      <c r="M18" s="7" t="str">
        <f t="shared" si="1"/>
        <v>Col 9</v>
      </c>
      <c r="N18" s="3" t="str">
        <f t="shared" si="1"/>
        <v>Col 10</v>
      </c>
      <c r="O18" s="8" t="str">
        <f t="shared" si="1"/>
        <v>Col 11</v>
      </c>
      <c r="P18" s="111" t="str">
        <f t="shared" si="1"/>
        <v>Col 12</v>
      </c>
    </row>
    <row r="19" spans="1:16" ht="60" x14ac:dyDescent="0.25">
      <c r="A19" s="123" t="s">
        <v>2</v>
      </c>
      <c r="B19" s="124" t="s">
        <v>2</v>
      </c>
      <c r="C19" s="124" t="s">
        <v>2</v>
      </c>
      <c r="D19" s="227" t="s">
        <v>2</v>
      </c>
      <c r="E19" s="7" t="s">
        <v>2</v>
      </c>
      <c r="F19" s="3" t="s">
        <v>2</v>
      </c>
      <c r="G19" s="3" t="s">
        <v>2</v>
      </c>
      <c r="H19" s="8" t="s">
        <v>2</v>
      </c>
      <c r="I19" s="7" t="str">
        <f>E18&amp;" / ("&amp;G18&amp;" - "&amp;E18&amp;")"</f>
        <v>Col 1 / (Col 3 - Col 1)</v>
      </c>
      <c r="J19" s="3" t="str">
        <f>F18&amp;" X (1 + "&amp;I18&amp;")"</f>
        <v>Col 2 X (1 + Col 5)</v>
      </c>
      <c r="K19" s="8" t="str">
        <f>J18&amp;" / "&amp;G18</f>
        <v>Col 6 / Col 3</v>
      </c>
      <c r="L19" s="112" t="s">
        <v>2</v>
      </c>
      <c r="M19" s="62" t="str">
        <f>"Incremental Regulatory Fee Per $ Revenue"&amp;" X "&amp;G18&amp;" X "&amp;K18&amp;" X "&amp;L18</f>
        <v>Incremental Regulatory Fee Per $ Revenue X Col 3 X Col 7 X Col 8</v>
      </c>
      <c r="N19" s="51" t="str">
        <f>"Incremental TRS Fee Per $ Revenue"&amp;" X "&amp;G18&amp;" X "&amp;K18&amp;" X "&amp;L18</f>
        <v>Incremental TRS Fee Per $ Revenue X Col 3 X Col 7 X Col 8</v>
      </c>
      <c r="O19" s="63" t="str">
        <f>"Incremental NANPA Fee Per $ Revenue"&amp;" X "&amp;H18&amp;" X "&amp;K18&amp;" X "&amp;L18</f>
        <v>Incremental NANPA Fee Per $ Revenue X Col 4 X Col 7 X Col 8</v>
      </c>
      <c r="P19" s="112" t="str">
        <f>"Sum("&amp;M18&amp;" + "&amp;N18&amp;" + "&amp;O18&amp;")"</f>
        <v>Sum(Col 9 + Col 10 + Col 11)</v>
      </c>
    </row>
    <row r="20" spans="1:16" s="41" customFormat="1" ht="15" x14ac:dyDescent="0.25">
      <c r="A20" s="250" t="s">
        <v>155</v>
      </c>
      <c r="B20" s="186" t="s">
        <v>4</v>
      </c>
      <c r="C20" s="241" t="s">
        <v>118</v>
      </c>
      <c r="D20" s="228" t="s">
        <v>119</v>
      </c>
      <c r="E20" s="229">
        <v>0</v>
      </c>
      <c r="F20" s="188">
        <v>0</v>
      </c>
      <c r="G20" s="188">
        <v>0</v>
      </c>
      <c r="H20" s="230">
        <v>0</v>
      </c>
      <c r="I20" s="181"/>
      <c r="J20" s="114"/>
      <c r="K20" s="182"/>
      <c r="L20" s="183"/>
      <c r="M20" s="133"/>
      <c r="N20" s="114"/>
      <c r="O20" s="184"/>
      <c r="P20" s="185"/>
    </row>
    <row r="21" spans="1:16" s="41" customFormat="1" ht="15" x14ac:dyDescent="0.25">
      <c r="A21" s="250" t="s">
        <v>155</v>
      </c>
      <c r="B21" s="186" t="s">
        <v>4</v>
      </c>
      <c r="C21" s="241" t="s">
        <v>146</v>
      </c>
      <c r="D21" s="228" t="s">
        <v>120</v>
      </c>
      <c r="E21" s="229">
        <v>125000</v>
      </c>
      <c r="F21" s="188">
        <v>300000</v>
      </c>
      <c r="G21" s="188">
        <v>950000</v>
      </c>
      <c r="H21" s="230">
        <v>2000000</v>
      </c>
      <c r="I21" s="181"/>
      <c r="J21" s="114"/>
      <c r="K21" s="182"/>
      <c r="L21" s="183"/>
      <c r="M21" s="133"/>
      <c r="N21" s="114"/>
      <c r="O21" s="184"/>
      <c r="P21" s="185"/>
    </row>
    <row r="22" spans="1:16" s="41" customFormat="1" ht="15" x14ac:dyDescent="0.25">
      <c r="A22" s="250" t="s">
        <v>155</v>
      </c>
      <c r="B22" s="186" t="s">
        <v>4</v>
      </c>
      <c r="C22" s="241" t="s">
        <v>147</v>
      </c>
      <c r="D22" s="228" t="s">
        <v>121</v>
      </c>
      <c r="E22" s="229">
        <v>0</v>
      </c>
      <c r="F22" s="188">
        <v>0</v>
      </c>
      <c r="G22" s="188">
        <v>0</v>
      </c>
      <c r="H22" s="230">
        <v>0</v>
      </c>
      <c r="I22" s="181"/>
      <c r="J22" s="114"/>
      <c r="K22" s="182"/>
      <c r="L22" s="183"/>
      <c r="M22" s="133"/>
      <c r="N22" s="114"/>
      <c r="O22" s="184"/>
      <c r="P22" s="185"/>
    </row>
    <row r="23" spans="1:16" s="41" customFormat="1" ht="15" x14ac:dyDescent="0.25">
      <c r="A23" s="250" t="s">
        <v>155</v>
      </c>
      <c r="B23" s="186" t="s">
        <v>4</v>
      </c>
      <c r="C23" s="241" t="s">
        <v>148</v>
      </c>
      <c r="D23" s="228" t="s">
        <v>122</v>
      </c>
      <c r="E23" s="229">
        <v>0</v>
      </c>
      <c r="F23" s="188">
        <v>0</v>
      </c>
      <c r="G23" s="188">
        <v>0</v>
      </c>
      <c r="H23" s="230">
        <v>0</v>
      </c>
      <c r="I23" s="256"/>
      <c r="J23" s="252"/>
      <c r="K23" s="257"/>
      <c r="L23" s="258"/>
      <c r="M23" s="259"/>
      <c r="N23" s="252"/>
      <c r="O23" s="260"/>
      <c r="P23" s="261"/>
    </row>
    <row r="24" spans="1:16" s="113" customFormat="1" thickBot="1" x14ac:dyDescent="0.3">
      <c r="A24" s="187" t="str">
        <f>A20</f>
        <v>222222222</v>
      </c>
      <c r="B24" s="187" t="str">
        <f>B20</f>
        <v>Holding Company Name</v>
      </c>
      <c r="C24" s="322" t="str">
        <f>"Total For "&amp;TEXT(B24, )</f>
        <v>Total For Holding Company Name</v>
      </c>
      <c r="D24" s="323"/>
      <c r="E24" s="125">
        <f>SUM(E20:E23)</f>
        <v>125000</v>
      </c>
      <c r="F24" s="126">
        <f>SUM(F20:F23)</f>
        <v>300000</v>
      </c>
      <c r="G24" s="126">
        <f>SUM(G20:G23)</f>
        <v>950000</v>
      </c>
      <c r="H24" s="127">
        <f>SUM(H20:H23)</f>
        <v>2000000</v>
      </c>
      <c r="I24" s="128">
        <f>ROUND(E24/(G24-E24),6)</f>
        <v>0.15151500000000001</v>
      </c>
      <c r="J24" s="126">
        <f>ROUND(F24*(1+I24),2)</f>
        <v>345454.5</v>
      </c>
      <c r="K24" s="129">
        <f>ROUND(J24/G24,6)</f>
        <v>0.36363600000000001</v>
      </c>
      <c r="L24" s="145">
        <v>0.58148599999999995</v>
      </c>
      <c r="M24" s="126">
        <f>ROUND($G$10*G24*K24*L24,2)</f>
        <v>0</v>
      </c>
      <c r="N24" s="126">
        <f>ROUND($G$11*G24*K24*L24,2)</f>
        <v>0</v>
      </c>
      <c r="O24" s="126">
        <f>ROUND($G$12*H24*K24*L24,2)</f>
        <v>0</v>
      </c>
      <c r="P24" s="130">
        <f>ROUND(SUM(M24:O24),2)</f>
        <v>0</v>
      </c>
    </row>
    <row r="25" spans="1:16" x14ac:dyDescent="0.25">
      <c r="A25" s="1"/>
      <c r="B25" s="1"/>
      <c r="C25" s="1"/>
      <c r="D25" s="24"/>
      <c r="E25" s="24"/>
      <c r="F25" s="24"/>
      <c r="G25" s="1"/>
      <c r="H25" s="1"/>
    </row>
  </sheetData>
  <mergeCells count="6">
    <mergeCell ref="M16:O16"/>
    <mergeCell ref="E15:H15"/>
    <mergeCell ref="C24:D24"/>
    <mergeCell ref="E16:H16"/>
    <mergeCell ref="A8:C8"/>
    <mergeCell ref="D8:F8"/>
  </mergeCells>
  <pageMargins left="0.25" right="0.25" top="0.75" bottom="0.75" header="0.3" footer="0.3"/>
  <pageSetup paperSize="5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R26"/>
  <sheetViews>
    <sheetView zoomScale="80" zoomScaleNormal="80" workbookViewId="0">
      <selection sqref="A1:B1"/>
    </sheetView>
  </sheetViews>
  <sheetFormatPr defaultRowHeight="15" x14ac:dyDescent="0.25"/>
  <cols>
    <col min="1" max="1" width="17.7109375" style="1" customWidth="1"/>
    <col min="2" max="2" width="29.5703125" style="1" customWidth="1"/>
    <col min="4" max="4" width="29.5703125" customWidth="1"/>
    <col min="5" max="7" width="17.7109375" style="1" customWidth="1"/>
    <col min="8" max="8" width="19.140625" customWidth="1"/>
    <col min="9" max="10" width="17.7109375" customWidth="1"/>
    <col min="11" max="11" width="18.28515625" customWidth="1"/>
    <col min="12" max="13" width="17.7109375" customWidth="1"/>
    <col min="14" max="15" width="17.7109375" style="1" customWidth="1"/>
    <col min="16" max="37" width="17.7109375" customWidth="1"/>
  </cols>
  <sheetData>
    <row r="1" spans="1:18" s="1" customFormat="1" ht="21" x14ac:dyDescent="0.35">
      <c r="A1" s="333" t="str">
        <f ca="1">MID(CELL("filename",A1),FIND("]",CELL("filename",A1))+1,255)</f>
        <v>Factor Dev</v>
      </c>
      <c r="B1" s="333"/>
      <c r="E1" s="334"/>
      <c r="F1" s="334"/>
    </row>
    <row r="2" spans="1:18" s="1" customFormat="1" x14ac:dyDescent="0.25">
      <c r="A2" s="317" t="str">
        <f>'Exogenous Costs'!A2</f>
        <v>Filing Date:  06/16/20</v>
      </c>
      <c r="B2" s="113"/>
    </row>
    <row r="3" spans="1:18" s="1" customFormat="1" x14ac:dyDescent="0.25">
      <c r="A3" s="339" t="str">
        <f>'Exogenous Costs'!A3</f>
        <v xml:space="preserve">Filing Entity:  </v>
      </c>
      <c r="B3" s="339"/>
    </row>
    <row r="4" spans="1:18" s="1" customFormat="1" x14ac:dyDescent="0.25">
      <c r="A4" s="317" t="str">
        <f>'Exogenous Costs'!A4</f>
        <v xml:space="preserve">Transmittal Number:  </v>
      </c>
      <c r="B4" s="113"/>
      <c r="D4" s="10"/>
      <c r="L4" s="10"/>
      <c r="M4" s="10"/>
      <c r="N4" s="10"/>
      <c r="O4" s="10"/>
    </row>
    <row r="5" spans="1:18" s="1" customFormat="1" x14ac:dyDescent="0.25">
      <c r="A5" s="142"/>
    </row>
    <row r="6" spans="1:18" s="1" customFormat="1" x14ac:dyDescent="0.25">
      <c r="A6" s="21"/>
      <c r="L6" s="40"/>
    </row>
    <row r="7" spans="1:18" s="1" customFormat="1" x14ac:dyDescent="0.25">
      <c r="A7" s="42"/>
      <c r="B7" s="45"/>
      <c r="C7" s="335" t="s">
        <v>25</v>
      </c>
      <c r="D7" s="335"/>
      <c r="E7" s="335"/>
      <c r="F7" s="335"/>
      <c r="G7" s="335"/>
      <c r="H7" s="336"/>
    </row>
    <row r="8" spans="1:18" s="1" customFormat="1" x14ac:dyDescent="0.25">
      <c r="A8" s="306" t="s">
        <v>26</v>
      </c>
      <c r="B8" s="307">
        <v>111.212</v>
      </c>
      <c r="C8" s="43" t="s">
        <v>56</v>
      </c>
      <c r="D8" s="2"/>
      <c r="E8" s="2"/>
      <c r="F8" s="2"/>
      <c r="G8" s="2"/>
      <c r="H8" s="30"/>
      <c r="J8" s="46"/>
    </row>
    <row r="9" spans="1:18" s="1" customFormat="1" x14ac:dyDescent="0.25">
      <c r="A9" s="308" t="s">
        <v>108</v>
      </c>
      <c r="B9" s="309">
        <v>113.036</v>
      </c>
      <c r="C9" s="310" t="s">
        <v>166</v>
      </c>
      <c r="D9" s="311"/>
      <c r="E9" s="311"/>
      <c r="F9" s="311"/>
      <c r="G9" s="311"/>
      <c r="H9" s="312"/>
    </row>
    <row r="10" spans="1:18" s="1" customFormat="1" x14ac:dyDescent="0.25">
      <c r="A10" s="21"/>
    </row>
    <row r="11" spans="1:18" s="1" customFormat="1" ht="15.75" thickBot="1" x14ac:dyDescent="0.3">
      <c r="A11" s="21"/>
    </row>
    <row r="12" spans="1:18" s="1" customFormat="1" ht="51.75" customHeight="1" thickBot="1" x14ac:dyDescent="0.3">
      <c r="E12" s="340" t="s">
        <v>123</v>
      </c>
      <c r="F12" s="341"/>
      <c r="G12" s="342"/>
      <c r="H12" s="343" t="s">
        <v>124</v>
      </c>
      <c r="I12" s="344"/>
      <c r="J12" s="344"/>
      <c r="K12" s="345"/>
    </row>
    <row r="13" spans="1:18" ht="136.5" x14ac:dyDescent="0.35">
      <c r="A13" s="271" t="s">
        <v>3</v>
      </c>
      <c r="B13" s="140" t="s">
        <v>4</v>
      </c>
      <c r="C13" s="6" t="s">
        <v>6</v>
      </c>
      <c r="D13" s="9" t="s">
        <v>7</v>
      </c>
      <c r="E13" s="140" t="s">
        <v>125</v>
      </c>
      <c r="F13" s="6" t="s">
        <v>126</v>
      </c>
      <c r="G13" s="9" t="s">
        <v>127</v>
      </c>
      <c r="H13" s="140" t="s">
        <v>128</v>
      </c>
      <c r="I13" s="262" t="s">
        <v>129</v>
      </c>
      <c r="J13" s="6" t="s">
        <v>130</v>
      </c>
      <c r="K13" s="9" t="s">
        <v>131</v>
      </c>
      <c r="L13" s="131" t="s">
        <v>0</v>
      </c>
      <c r="M13" s="132" t="s">
        <v>64</v>
      </c>
      <c r="N13" s="132" t="s">
        <v>165</v>
      </c>
      <c r="O13" s="121" t="s">
        <v>67</v>
      </c>
      <c r="P13" s="132" t="s">
        <v>65</v>
      </c>
      <c r="Q13" s="6" t="s">
        <v>132</v>
      </c>
      <c r="R13" s="9" t="s">
        <v>133</v>
      </c>
    </row>
    <row r="14" spans="1:18" s="1" customFormat="1" x14ac:dyDescent="0.25">
      <c r="A14" s="272"/>
      <c r="B14" s="12"/>
      <c r="C14" s="11"/>
      <c r="D14" s="13"/>
      <c r="E14" s="49" t="str">
        <f>"Col "&amp;COLUMN(E14)+8</f>
        <v>Col 13</v>
      </c>
      <c r="F14" s="20" t="str">
        <f>"Col "&amp;COLUMN(F14)+8</f>
        <v>Col 14</v>
      </c>
      <c r="G14" s="50" t="str">
        <f>"Col "&amp;COLUMN(G14)+8</f>
        <v>Col 15</v>
      </c>
      <c r="H14" s="49" t="str">
        <f>"Col "&amp;COLUMN(H14)+8</f>
        <v>Col 16</v>
      </c>
      <c r="I14" s="20" t="str">
        <f t="shared" ref="I14" si="0">"Col "&amp;COLUMN(I14)+8</f>
        <v>Col 17</v>
      </c>
      <c r="J14" s="20" t="str">
        <f>"Col "&amp;COLUMN(J14)+8</f>
        <v>Col 18</v>
      </c>
      <c r="K14" s="50" t="str">
        <f>"Col "&amp;COLUMN(K14)+8</f>
        <v>Col 19</v>
      </c>
      <c r="L14" s="49" t="str">
        <f t="shared" ref="L14" si="1">"Col "&amp;COLUMN(L14)+8</f>
        <v>Col 20</v>
      </c>
      <c r="M14" s="20" t="str">
        <f t="shared" ref="M14" si="2">"Col "&amp;COLUMN(M14)+8</f>
        <v>Col 21</v>
      </c>
      <c r="N14" s="20" t="str">
        <f>"Col "&amp;COLUMN(N14)+8</f>
        <v>Col 22</v>
      </c>
      <c r="O14" s="20" t="str">
        <f>"Col "&amp;COLUMN(O14)+8</f>
        <v>Col 23</v>
      </c>
      <c r="P14" s="20" t="str">
        <f>"Col "&amp;COLUMN(P14)+8</f>
        <v>Col 24</v>
      </c>
      <c r="Q14" s="20" t="str">
        <f>"Col "&amp;COLUMN(Q14)+8</f>
        <v>Col 25</v>
      </c>
      <c r="R14" s="50" t="str">
        <f>"Col "&amp;COLUMN(R14)+8</f>
        <v>Col 26</v>
      </c>
    </row>
    <row r="15" spans="1:18" s="1" customFormat="1" ht="93.6" customHeight="1" x14ac:dyDescent="0.25">
      <c r="A15" s="111" t="s">
        <v>2</v>
      </c>
      <c r="B15" s="7" t="s">
        <v>2</v>
      </c>
      <c r="C15" s="3" t="s">
        <v>2</v>
      </c>
      <c r="D15" s="231" t="s">
        <v>2</v>
      </c>
      <c r="E15" s="7" t="s">
        <v>2</v>
      </c>
      <c r="F15" s="3" t="s">
        <v>2</v>
      </c>
      <c r="G15" s="8" t="str">
        <f>E14&amp;" / "&amp;F14</f>
        <v>Col 13 / Col 14</v>
      </c>
      <c r="H15" s="263" t="s">
        <v>2</v>
      </c>
      <c r="I15" s="264" t="s">
        <v>2</v>
      </c>
      <c r="J15" s="264" t="str">
        <f>I14&amp;" - "&amp;H14</f>
        <v>Col 17 - Col 16</v>
      </c>
      <c r="K15" s="265" t="str">
        <f>"1 - ("&amp;J14&amp;" / "&amp;I14&amp;")"</f>
        <v>1 - (Col 18 / Col 17)</v>
      </c>
      <c r="L15" s="7" t="s">
        <v>47</v>
      </c>
      <c r="M15" s="3" t="str">
        <f>"("&amp;A9&amp;" - "&amp;A8&amp;") / "&amp;A8</f>
        <v>(GDP-PI Q4 2019 - GDP-PI Q4 2018) / GDP-PI Q4 2018</v>
      </c>
      <c r="N15" s="20" t="s">
        <v>72</v>
      </c>
      <c r="O15" s="3" t="str">
        <f>'Exogenous Costs'!P18</f>
        <v>Col 12</v>
      </c>
      <c r="P15" s="51" t="str">
        <f>"("&amp;'Factor Dev'!N14&amp;" + "&amp;'Factor Dev'!O14&amp;") / "&amp;'Factor Dev'!N14</f>
        <v>(Col 22 + Col 23) / Col 22</v>
      </c>
      <c r="Q15" s="3" t="s">
        <v>2</v>
      </c>
      <c r="R15" s="50" t="str">
        <f>Q14&amp;" X (1 + "&amp;'Factor Dev'!P14&amp;" X ("&amp;M14&amp;" - "&amp;L14&amp;") + "&amp;'Factor Dev'!O14&amp;" / "&amp;'Factor Dev'!N14&amp;")"</f>
        <v>Col 25 X (1 + Col 24 X (Col 21 - Col 20) + Col 23 / Col 22)</v>
      </c>
    </row>
    <row r="16" spans="1:18" s="41" customFormat="1" x14ac:dyDescent="0.25">
      <c r="A16" s="273" t="s">
        <v>117</v>
      </c>
      <c r="B16" s="232" t="s">
        <v>4</v>
      </c>
      <c r="C16" s="241" t="s">
        <v>118</v>
      </c>
      <c r="D16" s="275" t="s">
        <v>119</v>
      </c>
      <c r="E16" s="313"/>
      <c r="F16" s="314"/>
      <c r="G16" s="270">
        <f>IFERROR(E16/F16,1)</f>
        <v>1</v>
      </c>
      <c r="H16" s="284">
        <v>28000</v>
      </c>
      <c r="I16" s="284">
        <v>22000</v>
      </c>
      <c r="J16" s="268">
        <f>IFERROR($I16-$H16,"")</f>
        <v>-6000</v>
      </c>
      <c r="K16" s="269">
        <f>IFERROR(ROUND(1-($J16/$I16),6),1)</f>
        <v>1.2727269999999999</v>
      </c>
      <c r="L16" s="133"/>
      <c r="M16" s="114"/>
      <c r="N16" s="243">
        <f>ROUND('Holding Company TRP'!$G$37,2)</f>
        <v>1845415.6</v>
      </c>
      <c r="O16" s="114"/>
      <c r="P16" s="122"/>
      <c r="Q16" s="115"/>
      <c r="R16" s="134"/>
    </row>
    <row r="17" spans="1:18" s="41" customFormat="1" x14ac:dyDescent="0.25">
      <c r="A17" s="273" t="s">
        <v>117</v>
      </c>
      <c r="B17" s="232" t="s">
        <v>4</v>
      </c>
      <c r="C17" s="241" t="s">
        <v>146</v>
      </c>
      <c r="D17" s="275" t="s">
        <v>120</v>
      </c>
      <c r="E17" s="313"/>
      <c r="F17" s="314"/>
      <c r="G17" s="270">
        <f t="shared" ref="G17:G19" si="3">IFERROR(E17/F17,1)</f>
        <v>1</v>
      </c>
      <c r="H17" s="284">
        <v>185000</v>
      </c>
      <c r="I17" s="284">
        <v>209000</v>
      </c>
      <c r="J17" s="268">
        <f t="shared" ref="J17:J19" si="4">IFERROR($I17-$H17,"")</f>
        <v>24000</v>
      </c>
      <c r="K17" s="269">
        <f>IFERROR(ROUND(1-($J17/$I17),6),1)</f>
        <v>0.88516700000000004</v>
      </c>
      <c r="L17" s="133"/>
      <c r="M17" s="114"/>
      <c r="N17" s="243">
        <f>ROUND('Holding Company TRP'!$G$52,2)</f>
        <v>1283540</v>
      </c>
      <c r="O17" s="114"/>
      <c r="P17" s="122"/>
      <c r="Q17" s="115"/>
      <c r="R17" s="134"/>
    </row>
    <row r="18" spans="1:18" s="41" customFormat="1" x14ac:dyDescent="0.25">
      <c r="A18" s="273" t="s">
        <v>117</v>
      </c>
      <c r="B18" s="232" t="s">
        <v>4</v>
      </c>
      <c r="C18" s="241" t="s">
        <v>147</v>
      </c>
      <c r="D18" s="275" t="s">
        <v>121</v>
      </c>
      <c r="E18" s="313"/>
      <c r="F18" s="314"/>
      <c r="G18" s="270">
        <f t="shared" si="3"/>
        <v>1</v>
      </c>
      <c r="H18" s="284">
        <v>51000</v>
      </c>
      <c r="I18" s="284">
        <v>55000</v>
      </c>
      <c r="J18" s="268">
        <f t="shared" si="4"/>
        <v>4000</v>
      </c>
      <c r="K18" s="269">
        <f>IFERROR(ROUND(1-($J18/$I18),6),1)</f>
        <v>0.92727300000000001</v>
      </c>
      <c r="L18" s="133"/>
      <c r="M18" s="114"/>
      <c r="N18" s="243">
        <f>ROUND('Holding Company TRP'!$G$67,2)</f>
        <v>1344585.6</v>
      </c>
      <c r="O18" s="114"/>
      <c r="P18" s="122"/>
      <c r="Q18" s="115"/>
      <c r="R18" s="134"/>
    </row>
    <row r="19" spans="1:18" s="41" customFormat="1" x14ac:dyDescent="0.25">
      <c r="A19" s="273" t="s">
        <v>117</v>
      </c>
      <c r="B19" s="232" t="s">
        <v>4</v>
      </c>
      <c r="C19" s="241" t="s">
        <v>148</v>
      </c>
      <c r="D19" s="275" t="s">
        <v>122</v>
      </c>
      <c r="E19" s="313"/>
      <c r="F19" s="314"/>
      <c r="G19" s="270">
        <f t="shared" si="3"/>
        <v>1</v>
      </c>
      <c r="H19" s="266">
        <v>100000</v>
      </c>
      <c r="I19" s="267">
        <v>100000</v>
      </c>
      <c r="J19" s="268">
        <f t="shared" si="4"/>
        <v>0</v>
      </c>
      <c r="K19" s="269">
        <f>IFERROR(ROUND(1-($J19/$I19),6),1)</f>
        <v>1</v>
      </c>
      <c r="L19" s="251"/>
      <c r="M19" s="252"/>
      <c r="N19" s="243">
        <f>ROUND('Holding Company TRP'!$G$82,2)</f>
        <v>1450000</v>
      </c>
      <c r="O19" s="252"/>
      <c r="P19" s="253"/>
      <c r="Q19" s="254"/>
      <c r="R19" s="255"/>
    </row>
    <row r="20" spans="1:18" ht="15.75" thickBot="1" x14ac:dyDescent="0.3">
      <c r="A20" s="274" t="str">
        <f>A16</f>
        <v>000000000</v>
      </c>
      <c r="B20" s="276" t="str">
        <f>B16</f>
        <v>Holding Company Name</v>
      </c>
      <c r="C20" s="337" t="str">
        <f>"Total For "&amp;TEXT(B20, )</f>
        <v>Total For Holding Company Name</v>
      </c>
      <c r="D20" s="338"/>
      <c r="E20" s="277"/>
      <c r="F20" s="278"/>
      <c r="G20" s="279"/>
      <c r="H20" s="280"/>
      <c r="I20" s="281"/>
      <c r="J20" s="282"/>
      <c r="K20" s="283"/>
      <c r="L20" s="135">
        <v>0.02</v>
      </c>
      <c r="M20" s="136">
        <f>ROUND(IFERROR(($B$9-$B$8)/$B$8,""),6)</f>
        <v>1.6400999999999999E-2</v>
      </c>
      <c r="N20" s="137">
        <f>ROUND(SUM(N16:N19),2)</f>
        <v>5923541.2000000002</v>
      </c>
      <c r="O20" s="137">
        <f>ROUND('Exogenous Costs'!P24,2)</f>
        <v>0</v>
      </c>
      <c r="P20" s="138">
        <f>ROUND(SUM(N20,O20)/N20,6)</f>
        <v>1</v>
      </c>
      <c r="Q20" s="139">
        <v>100</v>
      </c>
      <c r="R20" s="244">
        <f>IF(N20&lt;&gt;0,ROUND(Q20*(1+P20*((M20-L20)+(O20/N20))),6),"NA")</f>
        <v>99.640100000000004</v>
      </c>
    </row>
    <row r="21" spans="1:18" x14ac:dyDescent="0.25">
      <c r="Q21" s="1"/>
    </row>
    <row r="22" spans="1:18" x14ac:dyDescent="0.25">
      <c r="M22" s="302"/>
    </row>
    <row r="23" spans="1:18" x14ac:dyDescent="0.25">
      <c r="A23" s="22"/>
      <c r="M23" s="303"/>
      <c r="P23" s="2"/>
      <c r="Q23" s="2"/>
    </row>
    <row r="24" spans="1:18" x14ac:dyDescent="0.25">
      <c r="P24" s="31"/>
      <c r="Q24" s="2"/>
    </row>
    <row r="25" spans="1:18" x14ac:dyDescent="0.25">
      <c r="P25" s="31"/>
      <c r="Q25" s="2"/>
    </row>
    <row r="26" spans="1:18" x14ac:dyDescent="0.25">
      <c r="P26" s="2"/>
      <c r="Q26" s="2"/>
    </row>
  </sheetData>
  <sortState xmlns:xlrd2="http://schemas.microsoft.com/office/spreadsheetml/2017/richdata2" ref="C20:P20">
    <sortCondition ref="C20"/>
  </sortState>
  <mergeCells count="7">
    <mergeCell ref="A1:B1"/>
    <mergeCell ref="E1:F1"/>
    <mergeCell ref="C7:H7"/>
    <mergeCell ref="C20:D20"/>
    <mergeCell ref="A3:B3"/>
    <mergeCell ref="E12:G12"/>
    <mergeCell ref="H12:K12"/>
  </mergeCells>
  <pageMargins left="0.25" right="0.25" top="0.75" bottom="0.75" header="0.3" footer="0.3"/>
  <pageSetup paperSize="5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pageSetUpPr fitToPage="1"/>
  </sheetPr>
  <dimension ref="A1:O147"/>
  <sheetViews>
    <sheetView topLeftCell="A103" zoomScale="70" zoomScaleNormal="70" workbookViewId="0">
      <selection activeCell="J131" activeCellId="2" sqref="J119 J125 J131"/>
    </sheetView>
  </sheetViews>
  <sheetFormatPr defaultColWidth="9.140625" defaultRowHeight="15" x14ac:dyDescent="0.25"/>
  <cols>
    <col min="1" max="1" width="59" style="100" bestFit="1" customWidth="1"/>
    <col min="2" max="2" width="39.28515625" style="33" customWidth="1"/>
    <col min="3" max="3" width="15.7109375" style="80" customWidth="1"/>
    <col min="4" max="8" width="15.7109375" style="32" customWidth="1"/>
    <col min="9" max="11" width="15.7109375" style="34" customWidth="1"/>
    <col min="12" max="12" width="15.7109375" style="35" customWidth="1"/>
    <col min="13" max="14" width="18.28515625" style="36" customWidth="1"/>
    <col min="15" max="15" width="15.7109375" style="36" customWidth="1"/>
    <col min="16" max="16384" width="9.140625" style="36"/>
  </cols>
  <sheetData>
    <row r="1" spans="1:15" ht="21" x14ac:dyDescent="0.35">
      <c r="A1" s="317" t="str">
        <f>'Exogenous Costs'!A2</f>
        <v>Filing Date:  06/16/20</v>
      </c>
      <c r="B1" s="113"/>
      <c r="C1" s="36"/>
      <c r="D1" s="334"/>
      <c r="E1" s="334"/>
      <c r="F1" s="37"/>
      <c r="G1" s="36"/>
      <c r="H1" s="36"/>
    </row>
    <row r="2" spans="1:15" x14ac:dyDescent="0.25">
      <c r="A2" s="339" t="str">
        <f>'Exogenous Costs'!A3</f>
        <v xml:space="preserve">Filing Entity:  </v>
      </c>
      <c r="B2" s="339"/>
      <c r="C2" s="36"/>
      <c r="D2" s="36"/>
      <c r="F2" s="38"/>
      <c r="G2" s="36"/>
      <c r="H2" s="36"/>
    </row>
    <row r="3" spans="1:15" x14ac:dyDescent="0.25">
      <c r="A3" s="317" t="str">
        <f>'Exogenous Costs'!A4</f>
        <v xml:space="preserve">Transmittal Number:  </v>
      </c>
      <c r="B3" s="113"/>
      <c r="C3" s="36"/>
      <c r="D3" s="36"/>
      <c r="F3" s="38"/>
      <c r="G3" s="36"/>
      <c r="H3" s="36"/>
    </row>
    <row r="4" spans="1:15" x14ac:dyDescent="0.25">
      <c r="A4" s="242"/>
      <c r="C4" s="36"/>
      <c r="D4" s="36"/>
      <c r="F4" s="38"/>
      <c r="G4" s="36"/>
      <c r="H4" s="36"/>
      <c r="I4" s="36"/>
      <c r="J4" s="36"/>
      <c r="K4" s="36"/>
      <c r="L4" s="36"/>
    </row>
    <row r="5" spans="1:15" x14ac:dyDescent="0.25">
      <c r="A5" s="39"/>
      <c r="C5" s="36"/>
      <c r="D5" s="36"/>
      <c r="F5" s="38"/>
      <c r="G5" s="27"/>
      <c r="H5" s="44"/>
      <c r="I5" s="36"/>
      <c r="J5" s="36"/>
      <c r="K5" s="36"/>
      <c r="L5" s="36"/>
    </row>
    <row r="6" spans="1:15" x14ac:dyDescent="0.25">
      <c r="A6" s="47" t="s">
        <v>10</v>
      </c>
      <c r="B6" s="120" t="s">
        <v>118</v>
      </c>
      <c r="C6" s="36"/>
      <c r="D6" s="36"/>
      <c r="F6" s="38"/>
      <c r="G6" s="27"/>
      <c r="H6" s="44"/>
      <c r="I6" s="36"/>
      <c r="J6" s="36"/>
      <c r="K6" s="36"/>
      <c r="L6" s="36"/>
    </row>
    <row r="7" spans="1:15" x14ac:dyDescent="0.25">
      <c r="A7" s="47" t="s">
        <v>11</v>
      </c>
      <c r="B7" s="48" t="str">
        <f>VLOOKUP(B6,'Exogenous Costs'!C20:D23,2,0)</f>
        <v>BDS HoldCo EC1</v>
      </c>
      <c r="C7" s="36"/>
      <c r="D7" s="36"/>
      <c r="F7" s="38"/>
      <c r="G7" s="27"/>
      <c r="H7" s="44"/>
      <c r="I7" s="36"/>
      <c r="J7" s="36"/>
      <c r="K7" s="36"/>
      <c r="L7" s="36"/>
    </row>
    <row r="8" spans="1:15" x14ac:dyDescent="0.25">
      <c r="A8" s="300" t="s">
        <v>153</v>
      </c>
      <c r="B8" s="305">
        <f>ROUND('Factor Dev'!G16,4)</f>
        <v>1</v>
      </c>
      <c r="C8" s="28"/>
      <c r="F8" s="38"/>
      <c r="G8" s="10"/>
      <c r="I8" s="71"/>
      <c r="J8" s="71"/>
      <c r="K8" s="71"/>
      <c r="M8" s="10"/>
      <c r="N8" s="10"/>
    </row>
    <row r="9" spans="1:15" s="73" customFormat="1" x14ac:dyDescent="0.25">
      <c r="A9" s="300" t="s">
        <v>154</v>
      </c>
      <c r="B9" s="305">
        <f>ROUND('Factor Dev'!K16,4)</f>
        <v>1.2726999999999999</v>
      </c>
      <c r="C9" s="65"/>
      <c r="D9" s="66"/>
      <c r="E9" s="67"/>
      <c r="F9" s="67"/>
      <c r="G9" s="67"/>
      <c r="H9" s="67"/>
      <c r="I9" s="67"/>
      <c r="J9" s="67"/>
      <c r="K9" s="72"/>
    </row>
    <row r="10" spans="1:15" ht="15.75" thickBot="1" x14ac:dyDescent="0.3">
      <c r="A10" s="74"/>
      <c r="B10" s="57"/>
      <c r="C10" s="75"/>
      <c r="D10" s="76"/>
      <c r="E10" s="76"/>
      <c r="F10" s="38"/>
      <c r="G10" s="16"/>
      <c r="H10" s="76"/>
      <c r="I10" s="71"/>
      <c r="J10" s="71"/>
      <c r="K10" s="71"/>
      <c r="M10" s="10"/>
      <c r="N10" s="10"/>
    </row>
    <row r="11" spans="1:15" ht="14.45" customHeight="1" x14ac:dyDescent="0.25">
      <c r="A11" s="347" t="s">
        <v>13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9"/>
      <c r="O11" s="77"/>
    </row>
    <row r="12" spans="1:15" ht="14.45" customHeight="1" thickBot="1" x14ac:dyDescent="0.3">
      <c r="A12" s="350"/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2"/>
      <c r="O12" s="77"/>
    </row>
    <row r="13" spans="1:15" s="72" customFormat="1" ht="14.45" customHeight="1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 x14ac:dyDescent="0.25">
      <c r="A14" s="36"/>
      <c r="B14" s="79"/>
      <c r="D14" s="81"/>
      <c r="E14" s="81"/>
      <c r="F14" s="81"/>
      <c r="G14" s="81"/>
      <c r="H14" s="81"/>
      <c r="I14" s="36"/>
      <c r="J14" s="36"/>
      <c r="K14" s="82"/>
      <c r="L14" s="353" t="s">
        <v>68</v>
      </c>
      <c r="M14" s="354"/>
      <c r="N14" s="292"/>
      <c r="O14" s="58"/>
    </row>
    <row r="15" spans="1:15" s="59" customFormat="1" ht="276.75" customHeight="1" x14ac:dyDescent="0.25">
      <c r="A15" s="84" t="s">
        <v>18</v>
      </c>
      <c r="B15" s="84" t="s">
        <v>14</v>
      </c>
      <c r="C15" s="85" t="s">
        <v>1</v>
      </c>
      <c r="D15" s="291" t="s">
        <v>134</v>
      </c>
      <c r="E15" s="291" t="s">
        <v>135</v>
      </c>
      <c r="F15" s="291" t="s">
        <v>136</v>
      </c>
      <c r="G15" s="291" t="s">
        <v>137</v>
      </c>
      <c r="H15" s="291" t="s">
        <v>63</v>
      </c>
      <c r="I15" s="87" t="s">
        <v>109</v>
      </c>
      <c r="J15" s="88" t="s">
        <v>110</v>
      </c>
      <c r="K15" s="88" t="s">
        <v>111</v>
      </c>
      <c r="L15" s="293" t="s">
        <v>138</v>
      </c>
      <c r="M15" s="293" t="s">
        <v>22</v>
      </c>
      <c r="N15" s="291" t="s">
        <v>139</v>
      </c>
    </row>
    <row r="16" spans="1:15" s="57" customFormat="1" x14ac:dyDescent="0.25">
      <c r="A16" s="89"/>
      <c r="B16" s="90"/>
      <c r="C16" s="84" t="str">
        <f>"Col "&amp;COLUMN(C17)+24</f>
        <v>Col 27</v>
      </c>
      <c r="D16" s="84" t="str">
        <f t="shared" ref="D16:N16" si="0">"Col "&amp;COLUMN(D17)+24</f>
        <v>Col 28</v>
      </c>
      <c r="E16" s="84" t="str">
        <f t="shared" si="0"/>
        <v>Col 29</v>
      </c>
      <c r="F16" s="84" t="str">
        <f t="shared" si="0"/>
        <v>Col 30</v>
      </c>
      <c r="G16" s="84" t="str">
        <f t="shared" si="0"/>
        <v>Col 31</v>
      </c>
      <c r="H16" s="84" t="str">
        <f t="shared" si="0"/>
        <v>Col 32</v>
      </c>
      <c r="I16" s="84" t="str">
        <f t="shared" si="0"/>
        <v>Col 33</v>
      </c>
      <c r="J16" s="84" t="str">
        <f t="shared" si="0"/>
        <v>Col 34</v>
      </c>
      <c r="K16" s="84" t="str">
        <f t="shared" si="0"/>
        <v>Col 35</v>
      </c>
      <c r="L16" s="84" t="str">
        <f t="shared" si="0"/>
        <v>Col 36</v>
      </c>
      <c r="M16" s="84" t="str">
        <f t="shared" si="0"/>
        <v>Col 37</v>
      </c>
      <c r="N16" s="84" t="str">
        <f t="shared" si="0"/>
        <v>Col 38</v>
      </c>
    </row>
    <row r="17" spans="1:14" s="57" customFormat="1" ht="153" customHeight="1" x14ac:dyDescent="0.25">
      <c r="A17" s="84" t="s">
        <v>2</v>
      </c>
      <c r="B17" s="84" t="s">
        <v>2</v>
      </c>
      <c r="C17" s="20" t="s">
        <v>2</v>
      </c>
      <c r="D17" s="84" t="s">
        <v>2</v>
      </c>
      <c r="E17" s="299" t="str">
        <f>D16&amp;" X Category Relationship Unfreeze Factor X Net Contributor or Net Recipient Factor"</f>
        <v>Col 28 X Category Relationship Unfreeze Factor X Net Contributor or Net Recipient Factor</v>
      </c>
      <c r="F17" s="91" t="s">
        <v>2</v>
      </c>
      <c r="G17" s="91" t="str">
        <f>"("&amp;F16&amp;" / "&amp;E16&amp;")"&amp;" - 1"</f>
        <v>(Col 30 / Col 29) - 1</v>
      </c>
      <c r="H17" s="91" t="str">
        <f>"("&amp;F16&amp;" / "&amp;D16&amp;")"&amp;" - 1"</f>
        <v>(Col 30 / Col 28) - 1</v>
      </c>
      <c r="I17" s="92" t="s">
        <v>2</v>
      </c>
      <c r="J17" s="92" t="s">
        <v>2</v>
      </c>
      <c r="K17" s="92" t="s">
        <v>2</v>
      </c>
      <c r="L17" s="91" t="str">
        <f>"(("&amp;E16&amp;" X "&amp;I16&amp;") + ("&amp;E16&amp;" X "&amp;J16&amp;" X Appropriate Discount) + ("&amp;E16&amp;" X "&amp;K16&amp;" X Appropriate Discount))"</f>
        <v>((Col 29 X Col 33) + (Col 29 X Col 34 X Appropriate Discount) + (Col 29 X Col 35 X Appropriate Discount))</v>
      </c>
      <c r="M17" s="91" t="str">
        <f>"(("&amp;F16&amp;" X "&amp;I16&amp;") + ("&amp;F16&amp;" X "&amp;J16&amp;" X Appropriate Discount) + ("&amp;F16&amp;" X "&amp;K16&amp;" X Appropriate Discount))"</f>
        <v>((Col 30 X Col 33) + (Col 30 X Col 34 X Appropriate Discount) + (Col 30 X Col 35 X Appropriate Discount))</v>
      </c>
      <c r="N17" s="91" t="str">
        <f>CONCATENATE(M16," - ",L16)</f>
        <v>Col 37 - Col 36</v>
      </c>
    </row>
    <row r="18" spans="1:14" s="199" customFormat="1" x14ac:dyDescent="0.25">
      <c r="A18" s="194"/>
      <c r="B18" s="195" t="s">
        <v>33</v>
      </c>
      <c r="C18" s="195" t="s">
        <v>27</v>
      </c>
      <c r="D18" s="196"/>
      <c r="E18" s="196"/>
      <c r="F18" s="196"/>
      <c r="G18" s="196"/>
      <c r="H18" s="196"/>
      <c r="I18" s="197"/>
      <c r="J18" s="197"/>
      <c r="K18" s="197"/>
      <c r="L18" s="198"/>
      <c r="M18" s="198"/>
      <c r="N18" s="198"/>
    </row>
    <row r="19" spans="1:14" s="57" customFormat="1" x14ac:dyDescent="0.25">
      <c r="A19" s="93" t="s">
        <v>171</v>
      </c>
      <c r="B19" s="93" t="s">
        <v>172</v>
      </c>
      <c r="C19" s="95" t="s">
        <v>27</v>
      </c>
      <c r="D19" s="233">
        <v>100</v>
      </c>
      <c r="E19" s="96">
        <f>ROUND(D19*$B$8*$B$9,2)</f>
        <v>127.27</v>
      </c>
      <c r="F19" s="233">
        <v>100</v>
      </c>
      <c r="G19" s="97">
        <f>IFERROR(ROUND((F19/E19)-1,3),0)</f>
        <v>-0.214</v>
      </c>
      <c r="H19" s="97">
        <f>ROUND(IFERROR((F19/D19)-1,0),3)</f>
        <v>0</v>
      </c>
      <c r="I19" s="234">
        <v>100</v>
      </c>
      <c r="J19" s="234">
        <v>10</v>
      </c>
      <c r="K19" s="234">
        <v>5</v>
      </c>
      <c r="L19" s="98">
        <f>IFERROR(ROUND(((E19*$I19)+(E19*$J19*0.8)+(E19*$K19*0.9)),2),0)</f>
        <v>14317.88</v>
      </c>
      <c r="M19" s="98">
        <f>IFERROR(ROUND(((F19*$I19)+(F19*$J19*0.8)+(F19*$K19*0.9)),2),0)</f>
        <v>11250</v>
      </c>
      <c r="N19" s="98">
        <f>ROUND(M19-L19,2)</f>
        <v>-3067.88</v>
      </c>
    </row>
    <row r="20" spans="1:14" s="57" customFormat="1" x14ac:dyDescent="0.25">
      <c r="A20" s="93"/>
      <c r="B20" s="93"/>
      <c r="C20" s="95"/>
      <c r="D20" s="233"/>
      <c r="E20" s="96">
        <f t="shared" ref="E20:E23" si="1">ROUND(D20*$B$8*$B$9,2)</f>
        <v>0</v>
      </c>
      <c r="F20" s="233"/>
      <c r="G20" s="97">
        <f t="shared" ref="G20:G23" si="2">IFERROR(ROUND((F20/E20)-1,3),0)</f>
        <v>0</v>
      </c>
      <c r="H20" s="97">
        <f t="shared" ref="H20:H23" si="3">ROUND(IFERROR((F20/D20)-1,0),3)</f>
        <v>0</v>
      </c>
      <c r="I20" s="234"/>
      <c r="J20" s="234"/>
      <c r="K20" s="234"/>
      <c r="L20" s="98">
        <f t="shared" ref="L20:L23" si="4">IFERROR(ROUND(((E20*$I20)+(E20*$J20*0.8)+(E20*$K20*0.9)),2),0)</f>
        <v>0</v>
      </c>
      <c r="M20" s="98">
        <f t="shared" ref="M20:M23" si="5">IFERROR(ROUND(((F20*$I20)+(F20*$J20*0.8)+(F20*$K20*0.9)),2),0)</f>
        <v>0</v>
      </c>
      <c r="N20" s="98">
        <f t="shared" ref="N20:N23" si="6">ROUND(M20-L20,2)</f>
        <v>0</v>
      </c>
    </row>
    <row r="21" spans="1:14" s="57" customFormat="1" x14ac:dyDescent="0.25">
      <c r="A21" s="93"/>
      <c r="B21" s="93"/>
      <c r="C21" s="95"/>
      <c r="D21" s="233"/>
      <c r="E21" s="96">
        <f t="shared" si="1"/>
        <v>0</v>
      </c>
      <c r="F21" s="233"/>
      <c r="G21" s="97">
        <f t="shared" si="2"/>
        <v>0</v>
      </c>
      <c r="H21" s="97">
        <f t="shared" si="3"/>
        <v>0</v>
      </c>
      <c r="I21" s="234"/>
      <c r="J21" s="234"/>
      <c r="K21" s="234"/>
      <c r="L21" s="98">
        <f t="shared" si="4"/>
        <v>0</v>
      </c>
      <c r="M21" s="98">
        <f t="shared" si="5"/>
        <v>0</v>
      </c>
      <c r="N21" s="98">
        <f t="shared" si="6"/>
        <v>0</v>
      </c>
    </row>
    <row r="22" spans="1:14" s="57" customFormat="1" x14ac:dyDescent="0.25">
      <c r="A22" s="93"/>
      <c r="B22" s="93"/>
      <c r="C22" s="95"/>
      <c r="D22" s="233"/>
      <c r="E22" s="96">
        <f t="shared" si="1"/>
        <v>0</v>
      </c>
      <c r="F22" s="233"/>
      <c r="G22" s="97">
        <f t="shared" si="2"/>
        <v>0</v>
      </c>
      <c r="H22" s="97">
        <f t="shared" si="3"/>
        <v>0</v>
      </c>
      <c r="I22" s="234"/>
      <c r="J22" s="234"/>
      <c r="K22" s="234"/>
      <c r="L22" s="98">
        <f t="shared" si="4"/>
        <v>0</v>
      </c>
      <c r="M22" s="98">
        <f t="shared" si="5"/>
        <v>0</v>
      </c>
      <c r="N22" s="98">
        <f t="shared" si="6"/>
        <v>0</v>
      </c>
    </row>
    <row r="23" spans="1:14" s="57" customFormat="1" x14ac:dyDescent="0.25">
      <c r="A23" s="93"/>
      <c r="B23" s="93"/>
      <c r="C23" s="95"/>
      <c r="D23" s="233"/>
      <c r="E23" s="96">
        <f t="shared" si="1"/>
        <v>0</v>
      </c>
      <c r="F23" s="233"/>
      <c r="G23" s="97">
        <f t="shared" si="2"/>
        <v>0</v>
      </c>
      <c r="H23" s="97">
        <f t="shared" si="3"/>
        <v>0</v>
      </c>
      <c r="I23" s="234"/>
      <c r="J23" s="234"/>
      <c r="K23" s="234"/>
      <c r="L23" s="98">
        <f t="shared" si="4"/>
        <v>0</v>
      </c>
      <c r="M23" s="98">
        <f t="shared" si="5"/>
        <v>0</v>
      </c>
      <c r="N23" s="98">
        <f t="shared" si="6"/>
        <v>0</v>
      </c>
    </row>
    <row r="24" spans="1:14" s="199" customFormat="1" ht="34.5" customHeight="1" x14ac:dyDescent="0.25">
      <c r="A24" s="194"/>
      <c r="B24" s="195" t="s">
        <v>32</v>
      </c>
      <c r="C24" s="195" t="s">
        <v>28</v>
      </c>
      <c r="D24" s="201"/>
      <c r="E24" s="201"/>
      <c r="F24" s="201"/>
      <c r="G24" s="202"/>
      <c r="H24" s="202"/>
      <c r="I24" s="197"/>
      <c r="J24" s="197"/>
      <c r="K24" s="197"/>
      <c r="L24" s="198"/>
      <c r="M24" s="198"/>
      <c r="N24" s="198"/>
    </row>
    <row r="25" spans="1:14" s="57" customFormat="1" x14ac:dyDescent="0.25">
      <c r="A25" s="93" t="s">
        <v>171</v>
      </c>
      <c r="B25" s="94" t="s">
        <v>173</v>
      </c>
      <c r="C25" s="95" t="s">
        <v>28</v>
      </c>
      <c r="D25" s="96">
        <v>100</v>
      </c>
      <c r="E25" s="96">
        <f t="shared" ref="E25:E29" si="7">ROUND(D25*$B$8*$B$9,2)</f>
        <v>127.27</v>
      </c>
      <c r="F25" s="96">
        <v>100</v>
      </c>
      <c r="G25" s="97">
        <f t="shared" ref="G25:G29" si="8">IFERROR(ROUND((F25/E25)-1,3),0)</f>
        <v>-0.214</v>
      </c>
      <c r="H25" s="97">
        <f t="shared" ref="H25:H29" si="9">ROUND(IFERROR((F25/D25)-1,0),3)</f>
        <v>0</v>
      </c>
      <c r="I25" s="234">
        <v>100</v>
      </c>
      <c r="J25" s="234">
        <v>10</v>
      </c>
      <c r="K25" s="234">
        <v>5</v>
      </c>
      <c r="L25" s="98">
        <f t="shared" ref="L25:L29" si="10">IFERROR(ROUND(((E25*$I25)+(E25*$J25*0.8)+(E25*$K25*0.9)),2),0)</f>
        <v>14317.88</v>
      </c>
      <c r="M25" s="98">
        <f t="shared" ref="M25:M29" si="11">IFERROR(ROUND(((F25*$I25)+(F25*$J25*0.8)+(F25*$K25*0.9)),2),0)</f>
        <v>11250</v>
      </c>
      <c r="N25" s="98">
        <f t="shared" ref="N25:N29" si="12">ROUND(M25-L25,2)</f>
        <v>-3067.88</v>
      </c>
    </row>
    <row r="26" spans="1:14" s="57" customFormat="1" x14ac:dyDescent="0.25">
      <c r="A26" s="93"/>
      <c r="B26" s="93"/>
      <c r="C26" s="95"/>
      <c r="D26" s="233"/>
      <c r="E26" s="96">
        <f t="shared" si="7"/>
        <v>0</v>
      </c>
      <c r="F26" s="233"/>
      <c r="G26" s="97">
        <f t="shared" si="8"/>
        <v>0</v>
      </c>
      <c r="H26" s="97">
        <f t="shared" si="9"/>
        <v>0</v>
      </c>
      <c r="I26" s="234"/>
      <c r="J26" s="234"/>
      <c r="K26" s="234"/>
      <c r="L26" s="98">
        <f t="shared" si="10"/>
        <v>0</v>
      </c>
      <c r="M26" s="98">
        <f t="shared" si="11"/>
        <v>0</v>
      </c>
      <c r="N26" s="98">
        <f t="shared" si="12"/>
        <v>0</v>
      </c>
    </row>
    <row r="27" spans="1:14" s="57" customFormat="1" x14ac:dyDescent="0.25">
      <c r="A27" s="93"/>
      <c r="B27" s="93"/>
      <c r="C27" s="95"/>
      <c r="D27" s="233"/>
      <c r="E27" s="96">
        <f t="shared" si="7"/>
        <v>0</v>
      </c>
      <c r="F27" s="233"/>
      <c r="G27" s="97">
        <f t="shared" si="8"/>
        <v>0</v>
      </c>
      <c r="H27" s="97">
        <f t="shared" si="9"/>
        <v>0</v>
      </c>
      <c r="I27" s="234"/>
      <c r="J27" s="234"/>
      <c r="K27" s="234"/>
      <c r="L27" s="98">
        <f t="shared" si="10"/>
        <v>0</v>
      </c>
      <c r="M27" s="98">
        <f t="shared" si="11"/>
        <v>0</v>
      </c>
      <c r="N27" s="98">
        <f t="shared" si="12"/>
        <v>0</v>
      </c>
    </row>
    <row r="28" spans="1:14" s="57" customFormat="1" x14ac:dyDescent="0.25">
      <c r="A28" s="93"/>
      <c r="B28" s="93"/>
      <c r="C28" s="95"/>
      <c r="D28" s="233"/>
      <c r="E28" s="96">
        <f t="shared" si="7"/>
        <v>0</v>
      </c>
      <c r="F28" s="233"/>
      <c r="G28" s="97">
        <f t="shared" si="8"/>
        <v>0</v>
      </c>
      <c r="H28" s="97">
        <f t="shared" si="9"/>
        <v>0</v>
      </c>
      <c r="I28" s="234"/>
      <c r="J28" s="234"/>
      <c r="K28" s="234"/>
      <c r="L28" s="98">
        <f t="shared" si="10"/>
        <v>0</v>
      </c>
      <c r="M28" s="98">
        <f t="shared" si="11"/>
        <v>0</v>
      </c>
      <c r="N28" s="98">
        <f t="shared" si="12"/>
        <v>0</v>
      </c>
    </row>
    <row r="29" spans="1:14" s="57" customFormat="1" x14ac:dyDescent="0.25">
      <c r="A29" s="93"/>
      <c r="B29" s="93"/>
      <c r="C29" s="95"/>
      <c r="D29" s="233"/>
      <c r="E29" s="96">
        <f t="shared" si="7"/>
        <v>0</v>
      </c>
      <c r="F29" s="233"/>
      <c r="G29" s="97">
        <f t="shared" si="8"/>
        <v>0</v>
      </c>
      <c r="H29" s="97">
        <f t="shared" si="9"/>
        <v>0</v>
      </c>
      <c r="I29" s="234"/>
      <c r="J29" s="234"/>
      <c r="K29" s="234"/>
      <c r="L29" s="98">
        <f t="shared" si="10"/>
        <v>0</v>
      </c>
      <c r="M29" s="98">
        <f t="shared" si="11"/>
        <v>0</v>
      </c>
      <c r="N29" s="98">
        <f t="shared" si="12"/>
        <v>0</v>
      </c>
    </row>
    <row r="30" spans="1:14" s="199" customFormat="1" ht="33" customHeight="1" x14ac:dyDescent="0.25">
      <c r="A30" s="194"/>
      <c r="B30" s="195" t="s">
        <v>31</v>
      </c>
      <c r="C30" s="195" t="s">
        <v>29</v>
      </c>
      <c r="D30" s="201"/>
      <c r="E30" s="201"/>
      <c r="F30" s="201"/>
      <c r="G30" s="202"/>
      <c r="H30" s="202"/>
      <c r="I30" s="197"/>
      <c r="J30" s="197"/>
      <c r="K30" s="197"/>
      <c r="L30" s="198"/>
      <c r="M30" s="198"/>
      <c r="N30" s="198"/>
    </row>
    <row r="31" spans="1:14" s="57" customFormat="1" ht="15" customHeight="1" x14ac:dyDescent="0.25">
      <c r="A31" s="93" t="s">
        <v>171</v>
      </c>
      <c r="B31" s="93" t="s">
        <v>174</v>
      </c>
      <c r="C31" s="95" t="s">
        <v>29</v>
      </c>
      <c r="D31" s="233">
        <v>100</v>
      </c>
      <c r="E31" s="96">
        <f t="shared" ref="E31:E35" si="13">ROUND(D31*$B$8*$B$9,2)</f>
        <v>127.27</v>
      </c>
      <c r="F31" s="233">
        <v>100</v>
      </c>
      <c r="G31" s="97">
        <f t="shared" ref="G31:G35" si="14">IFERROR(ROUND((F31/E31)-1,3),0)</f>
        <v>-0.214</v>
      </c>
      <c r="H31" s="97">
        <f t="shared" ref="H31:H35" si="15">ROUND(IFERROR((F31/D31)-1,0),3)</f>
        <v>0</v>
      </c>
      <c r="I31" s="234">
        <v>100</v>
      </c>
      <c r="J31" s="234">
        <v>10</v>
      </c>
      <c r="K31" s="234">
        <v>5</v>
      </c>
      <c r="L31" s="98">
        <f t="shared" ref="L31:L35" si="16">IFERROR(ROUND(((E31*$I31)+(E31*$J31*0.8)+(E31*$K31*0.9)),2),0)</f>
        <v>14317.88</v>
      </c>
      <c r="M31" s="98">
        <f t="shared" ref="M31:M35" si="17">IFERROR(ROUND(((F31*$I31)+(F31*$J31*0.8)+(F31*$K31*0.9)),2),0)</f>
        <v>11250</v>
      </c>
      <c r="N31" s="98">
        <f t="shared" ref="N31:N35" si="18">ROUND(M31-L31,2)</f>
        <v>-3067.88</v>
      </c>
    </row>
    <row r="32" spans="1:14" s="57" customFormat="1" x14ac:dyDescent="0.25">
      <c r="A32" s="93"/>
      <c r="B32" s="93"/>
      <c r="C32" s="95"/>
      <c r="D32" s="233"/>
      <c r="E32" s="96">
        <f t="shared" si="13"/>
        <v>0</v>
      </c>
      <c r="F32" s="233"/>
      <c r="G32" s="97">
        <f t="shared" si="14"/>
        <v>0</v>
      </c>
      <c r="H32" s="97">
        <f t="shared" si="15"/>
        <v>0</v>
      </c>
      <c r="I32" s="234"/>
      <c r="J32" s="234"/>
      <c r="K32" s="234"/>
      <c r="L32" s="98">
        <f t="shared" si="16"/>
        <v>0</v>
      </c>
      <c r="M32" s="98">
        <f t="shared" si="17"/>
        <v>0</v>
      </c>
      <c r="N32" s="98">
        <f t="shared" si="18"/>
        <v>0</v>
      </c>
    </row>
    <row r="33" spans="1:14" s="57" customFormat="1" x14ac:dyDescent="0.25">
      <c r="A33" s="93"/>
      <c r="B33" s="93"/>
      <c r="C33" s="95"/>
      <c r="D33" s="233"/>
      <c r="E33" s="96">
        <f t="shared" si="13"/>
        <v>0</v>
      </c>
      <c r="F33" s="233"/>
      <c r="G33" s="97">
        <f t="shared" si="14"/>
        <v>0</v>
      </c>
      <c r="H33" s="97">
        <f t="shared" si="15"/>
        <v>0</v>
      </c>
      <c r="I33" s="234"/>
      <c r="J33" s="234"/>
      <c r="K33" s="234"/>
      <c r="L33" s="98">
        <f t="shared" si="16"/>
        <v>0</v>
      </c>
      <c r="M33" s="98">
        <f t="shared" si="17"/>
        <v>0</v>
      </c>
      <c r="N33" s="98">
        <f t="shared" si="18"/>
        <v>0</v>
      </c>
    </row>
    <row r="34" spans="1:14" s="57" customFormat="1" x14ac:dyDescent="0.25">
      <c r="A34" s="93"/>
      <c r="B34" s="93"/>
      <c r="C34" s="95"/>
      <c r="D34" s="233"/>
      <c r="E34" s="96">
        <f t="shared" si="13"/>
        <v>0</v>
      </c>
      <c r="F34" s="233"/>
      <c r="G34" s="97">
        <f t="shared" si="14"/>
        <v>0</v>
      </c>
      <c r="H34" s="97">
        <f t="shared" si="15"/>
        <v>0</v>
      </c>
      <c r="I34" s="234"/>
      <c r="J34" s="234"/>
      <c r="K34" s="234"/>
      <c r="L34" s="98">
        <f t="shared" si="16"/>
        <v>0</v>
      </c>
      <c r="M34" s="98">
        <f t="shared" si="17"/>
        <v>0</v>
      </c>
      <c r="N34" s="98">
        <f t="shared" si="18"/>
        <v>0</v>
      </c>
    </row>
    <row r="35" spans="1:14" s="57" customFormat="1" x14ac:dyDescent="0.25">
      <c r="A35" s="93"/>
      <c r="B35" s="93"/>
      <c r="C35" s="95"/>
      <c r="D35" s="233"/>
      <c r="E35" s="96">
        <f t="shared" si="13"/>
        <v>0</v>
      </c>
      <c r="F35" s="233"/>
      <c r="G35" s="97">
        <f t="shared" si="14"/>
        <v>0</v>
      </c>
      <c r="H35" s="97">
        <f t="shared" si="15"/>
        <v>0</v>
      </c>
      <c r="I35" s="234"/>
      <c r="J35" s="234"/>
      <c r="K35" s="234"/>
      <c r="L35" s="98">
        <f t="shared" si="16"/>
        <v>0</v>
      </c>
      <c r="M35" s="98">
        <f t="shared" si="17"/>
        <v>0</v>
      </c>
      <c r="N35" s="98">
        <f t="shared" si="18"/>
        <v>0</v>
      </c>
    </row>
    <row r="36" spans="1:14" s="199" customFormat="1" ht="33" customHeight="1" x14ac:dyDescent="0.25">
      <c r="A36" s="194"/>
      <c r="B36" s="195" t="s">
        <v>30</v>
      </c>
      <c r="C36" s="195" t="s">
        <v>45</v>
      </c>
      <c r="D36" s="201"/>
      <c r="E36" s="201"/>
      <c r="F36" s="201"/>
      <c r="G36" s="202"/>
      <c r="H36" s="202"/>
      <c r="I36" s="197"/>
      <c r="J36" s="197"/>
      <c r="K36" s="197"/>
      <c r="L36" s="198"/>
      <c r="M36" s="198"/>
      <c r="N36" s="198"/>
    </row>
    <row r="37" spans="1:14" s="57" customFormat="1" x14ac:dyDescent="0.25">
      <c r="A37" s="93" t="s">
        <v>171</v>
      </c>
      <c r="B37" s="93" t="s">
        <v>175</v>
      </c>
      <c r="C37" s="95" t="s">
        <v>45</v>
      </c>
      <c r="D37" s="233">
        <v>100</v>
      </c>
      <c r="E37" s="96">
        <f t="shared" ref="E37:E41" si="19">ROUND(D37*$B$8*$B$9,2)</f>
        <v>127.27</v>
      </c>
      <c r="F37" s="233">
        <v>100</v>
      </c>
      <c r="G37" s="97">
        <f t="shared" ref="G37:G41" si="20">IFERROR(ROUND((F37/E37)-1,3),0)</f>
        <v>-0.214</v>
      </c>
      <c r="H37" s="97">
        <f t="shared" ref="H37:H41" si="21">ROUND(IFERROR((F37/D37)-1,0),3)</f>
        <v>0</v>
      </c>
      <c r="I37" s="234">
        <v>100</v>
      </c>
      <c r="J37" s="234">
        <v>10</v>
      </c>
      <c r="K37" s="234">
        <v>5</v>
      </c>
      <c r="L37" s="98">
        <f t="shared" ref="L37:L41" si="22">IFERROR(ROUND(((E37*$I37)+(E37*$J37*0.8)+(E37*$K37*0.9)),2),0)</f>
        <v>14317.88</v>
      </c>
      <c r="M37" s="98">
        <f t="shared" ref="M37:M41" si="23">IFERROR(ROUND(((F37*$I37)+(F37*$J37*0.8)+(F37*$K37*0.9)),2),0)</f>
        <v>11250</v>
      </c>
      <c r="N37" s="98">
        <f t="shared" ref="N37:N41" si="24">ROUND(M37-L37,2)</f>
        <v>-3067.88</v>
      </c>
    </row>
    <row r="38" spans="1:14" s="57" customFormat="1" x14ac:dyDescent="0.25">
      <c r="A38" s="93"/>
      <c r="B38" s="93"/>
      <c r="C38" s="95"/>
      <c r="D38" s="233"/>
      <c r="E38" s="96">
        <f t="shared" si="19"/>
        <v>0</v>
      </c>
      <c r="F38" s="233"/>
      <c r="G38" s="97">
        <f t="shared" si="20"/>
        <v>0</v>
      </c>
      <c r="H38" s="97">
        <f t="shared" si="21"/>
        <v>0</v>
      </c>
      <c r="I38" s="234"/>
      <c r="J38" s="234"/>
      <c r="K38" s="234"/>
      <c r="L38" s="98">
        <f t="shared" si="22"/>
        <v>0</v>
      </c>
      <c r="M38" s="98">
        <f t="shared" si="23"/>
        <v>0</v>
      </c>
      <c r="N38" s="98">
        <f t="shared" si="24"/>
        <v>0</v>
      </c>
    </row>
    <row r="39" spans="1:14" s="57" customFormat="1" x14ac:dyDescent="0.25">
      <c r="A39" s="93"/>
      <c r="B39" s="93"/>
      <c r="C39" s="95"/>
      <c r="D39" s="233"/>
      <c r="E39" s="96">
        <f t="shared" si="19"/>
        <v>0</v>
      </c>
      <c r="F39" s="233"/>
      <c r="G39" s="97">
        <f t="shared" si="20"/>
        <v>0</v>
      </c>
      <c r="H39" s="97">
        <f t="shared" si="21"/>
        <v>0</v>
      </c>
      <c r="I39" s="234"/>
      <c r="J39" s="234"/>
      <c r="K39" s="234"/>
      <c r="L39" s="98">
        <f t="shared" si="22"/>
        <v>0</v>
      </c>
      <c r="M39" s="98">
        <f t="shared" si="23"/>
        <v>0</v>
      </c>
      <c r="N39" s="98">
        <f t="shared" si="24"/>
        <v>0</v>
      </c>
    </row>
    <row r="40" spans="1:14" s="57" customFormat="1" x14ac:dyDescent="0.25">
      <c r="A40" s="93"/>
      <c r="B40" s="93"/>
      <c r="C40" s="95"/>
      <c r="D40" s="233"/>
      <c r="E40" s="96">
        <f t="shared" si="19"/>
        <v>0</v>
      </c>
      <c r="F40" s="233"/>
      <c r="G40" s="97">
        <f t="shared" si="20"/>
        <v>0</v>
      </c>
      <c r="H40" s="97">
        <f t="shared" si="21"/>
        <v>0</v>
      </c>
      <c r="I40" s="234"/>
      <c r="J40" s="234"/>
      <c r="K40" s="234"/>
      <c r="L40" s="98">
        <f t="shared" si="22"/>
        <v>0</v>
      </c>
      <c r="M40" s="98">
        <f t="shared" si="23"/>
        <v>0</v>
      </c>
      <c r="N40" s="98">
        <f t="shared" si="24"/>
        <v>0</v>
      </c>
    </row>
    <row r="41" spans="1:14" s="57" customFormat="1" x14ac:dyDescent="0.25">
      <c r="A41" s="93"/>
      <c r="B41" s="93"/>
      <c r="C41" s="95"/>
      <c r="D41" s="233"/>
      <c r="E41" s="96">
        <f t="shared" si="19"/>
        <v>0</v>
      </c>
      <c r="F41" s="233"/>
      <c r="G41" s="97">
        <f t="shared" si="20"/>
        <v>0</v>
      </c>
      <c r="H41" s="97">
        <f t="shared" si="21"/>
        <v>0</v>
      </c>
      <c r="I41" s="234"/>
      <c r="J41" s="234"/>
      <c r="K41" s="234"/>
      <c r="L41" s="98">
        <f t="shared" si="22"/>
        <v>0</v>
      </c>
      <c r="M41" s="98">
        <f t="shared" si="23"/>
        <v>0</v>
      </c>
      <c r="N41" s="98">
        <f t="shared" si="24"/>
        <v>0</v>
      </c>
    </row>
    <row r="42" spans="1:14" s="199" customFormat="1" x14ac:dyDescent="0.25">
      <c r="A42" s="194"/>
      <c r="B42" s="195" t="s">
        <v>34</v>
      </c>
      <c r="C42" s="195" t="s">
        <v>35</v>
      </c>
      <c r="D42" s="201"/>
      <c r="E42" s="201"/>
      <c r="F42" s="201"/>
      <c r="G42" s="202"/>
      <c r="H42" s="202"/>
      <c r="I42" s="197"/>
      <c r="J42" s="197"/>
      <c r="K42" s="197"/>
      <c r="L42" s="198"/>
      <c r="M42" s="198"/>
      <c r="N42" s="198"/>
    </row>
    <row r="43" spans="1:14" s="57" customFormat="1" x14ac:dyDescent="0.25">
      <c r="A43" s="93" t="s">
        <v>171</v>
      </c>
      <c r="B43" s="93" t="s">
        <v>176</v>
      </c>
      <c r="C43" s="95" t="s">
        <v>35</v>
      </c>
      <c r="D43" s="233">
        <v>100</v>
      </c>
      <c r="E43" s="96">
        <f t="shared" ref="E43:E47" si="25">ROUND(D43*$B$8*$B$9,2)</f>
        <v>127.27</v>
      </c>
      <c r="F43" s="233">
        <v>100</v>
      </c>
      <c r="G43" s="97">
        <f t="shared" ref="G43:G47" si="26">IFERROR(ROUND((F43/E43)-1,3),0)</f>
        <v>-0.214</v>
      </c>
      <c r="H43" s="97">
        <f t="shared" ref="H43:H47" si="27">ROUND(IFERROR((F43/D43)-1,0),3)</f>
        <v>0</v>
      </c>
      <c r="I43" s="234">
        <v>100</v>
      </c>
      <c r="J43" s="234">
        <v>10</v>
      </c>
      <c r="K43" s="234">
        <v>5</v>
      </c>
      <c r="L43" s="98">
        <f t="shared" ref="L43:L47" si="28">IFERROR(ROUND(((E43*$I43)+(E43*$J43*0.8)+(E43*$K43*0.9)),2),0)</f>
        <v>14317.88</v>
      </c>
      <c r="M43" s="98">
        <f t="shared" ref="M43:M47" si="29">IFERROR(ROUND(((F43*$I43)+(F43*$J43*0.8)+(F43*$K43*0.9)),2),0)</f>
        <v>11250</v>
      </c>
      <c r="N43" s="98">
        <f t="shared" ref="N43:N47" si="30">ROUND(M43-L43,2)</f>
        <v>-3067.88</v>
      </c>
    </row>
    <row r="44" spans="1:14" s="57" customFormat="1" x14ac:dyDescent="0.25">
      <c r="A44" s="93"/>
      <c r="B44" s="93"/>
      <c r="C44" s="95"/>
      <c r="D44" s="233"/>
      <c r="E44" s="96">
        <f t="shared" si="25"/>
        <v>0</v>
      </c>
      <c r="F44" s="233"/>
      <c r="G44" s="97">
        <f t="shared" si="26"/>
        <v>0</v>
      </c>
      <c r="H44" s="97">
        <f t="shared" si="27"/>
        <v>0</v>
      </c>
      <c r="I44" s="234"/>
      <c r="J44" s="234"/>
      <c r="K44" s="234"/>
      <c r="L44" s="98">
        <f t="shared" si="28"/>
        <v>0</v>
      </c>
      <c r="M44" s="98">
        <f t="shared" si="29"/>
        <v>0</v>
      </c>
      <c r="N44" s="98">
        <f t="shared" si="30"/>
        <v>0</v>
      </c>
    </row>
    <row r="45" spans="1:14" s="57" customFormat="1" x14ac:dyDescent="0.25">
      <c r="A45" s="93"/>
      <c r="B45" s="93"/>
      <c r="C45" s="95"/>
      <c r="D45" s="233"/>
      <c r="E45" s="96">
        <f t="shared" si="25"/>
        <v>0</v>
      </c>
      <c r="F45" s="233"/>
      <c r="G45" s="97">
        <f t="shared" si="26"/>
        <v>0</v>
      </c>
      <c r="H45" s="97">
        <f t="shared" si="27"/>
        <v>0</v>
      </c>
      <c r="I45" s="234"/>
      <c r="J45" s="234"/>
      <c r="K45" s="234"/>
      <c r="L45" s="98">
        <f t="shared" si="28"/>
        <v>0</v>
      </c>
      <c r="M45" s="98">
        <f t="shared" si="29"/>
        <v>0</v>
      </c>
      <c r="N45" s="98">
        <f t="shared" si="30"/>
        <v>0</v>
      </c>
    </row>
    <row r="46" spans="1:14" s="57" customFormat="1" x14ac:dyDescent="0.25">
      <c r="A46" s="93"/>
      <c r="B46" s="93"/>
      <c r="C46" s="95"/>
      <c r="D46" s="233"/>
      <c r="E46" s="96">
        <f t="shared" si="25"/>
        <v>0</v>
      </c>
      <c r="F46" s="233"/>
      <c r="G46" s="97">
        <f t="shared" si="26"/>
        <v>0</v>
      </c>
      <c r="H46" s="97">
        <f t="shared" si="27"/>
        <v>0</v>
      </c>
      <c r="I46" s="234"/>
      <c r="J46" s="234"/>
      <c r="K46" s="234"/>
      <c r="L46" s="98">
        <f t="shared" si="28"/>
        <v>0</v>
      </c>
      <c r="M46" s="98">
        <f t="shared" si="29"/>
        <v>0</v>
      </c>
      <c r="N46" s="98">
        <f t="shared" si="30"/>
        <v>0</v>
      </c>
    </row>
    <row r="47" spans="1:14" s="57" customFormat="1" x14ac:dyDescent="0.25">
      <c r="A47" s="93"/>
      <c r="B47" s="93"/>
      <c r="C47" s="95"/>
      <c r="D47" s="233"/>
      <c r="E47" s="96">
        <f t="shared" si="25"/>
        <v>0</v>
      </c>
      <c r="F47" s="233"/>
      <c r="G47" s="97">
        <f t="shared" si="26"/>
        <v>0</v>
      </c>
      <c r="H47" s="97">
        <f t="shared" si="27"/>
        <v>0</v>
      </c>
      <c r="I47" s="234"/>
      <c r="J47" s="234"/>
      <c r="K47" s="234"/>
      <c r="L47" s="98">
        <f t="shared" si="28"/>
        <v>0</v>
      </c>
      <c r="M47" s="98">
        <f t="shared" si="29"/>
        <v>0</v>
      </c>
      <c r="N47" s="98">
        <f t="shared" si="30"/>
        <v>0</v>
      </c>
    </row>
    <row r="48" spans="1:14" s="199" customFormat="1" ht="35.25" customHeight="1" x14ac:dyDescent="0.25">
      <c r="A48" s="194"/>
      <c r="B48" s="195" t="s">
        <v>36</v>
      </c>
      <c r="C48" s="195" t="s">
        <v>37</v>
      </c>
      <c r="D48" s="201"/>
      <c r="E48" s="201"/>
      <c r="F48" s="201"/>
      <c r="G48" s="202"/>
      <c r="H48" s="202"/>
      <c r="I48" s="197"/>
      <c r="J48" s="197"/>
      <c r="K48" s="197"/>
      <c r="L48" s="198"/>
      <c r="M48" s="198"/>
      <c r="N48" s="198"/>
    </row>
    <row r="49" spans="1:14" s="57" customFormat="1" x14ac:dyDescent="0.25">
      <c r="A49" s="93" t="s">
        <v>171</v>
      </c>
      <c r="B49" s="93" t="s">
        <v>177</v>
      </c>
      <c r="C49" s="95" t="s">
        <v>37</v>
      </c>
      <c r="D49" s="233">
        <v>100</v>
      </c>
      <c r="E49" s="96">
        <f t="shared" ref="E49:E53" si="31">ROUND(D49*$B$8*$B$9,2)</f>
        <v>127.27</v>
      </c>
      <c r="F49" s="233">
        <v>100</v>
      </c>
      <c r="G49" s="97">
        <f t="shared" ref="G49:G53" si="32">IFERROR(ROUND((F49/E49)-1,3),0)</f>
        <v>-0.214</v>
      </c>
      <c r="H49" s="97">
        <f t="shared" ref="H49:H53" si="33">ROUND(IFERROR((F49/D49)-1,0),3)</f>
        <v>0</v>
      </c>
      <c r="I49" s="234">
        <v>100</v>
      </c>
      <c r="J49" s="234">
        <v>10</v>
      </c>
      <c r="K49" s="234">
        <v>5</v>
      </c>
      <c r="L49" s="98">
        <f t="shared" ref="L49:L53" si="34">IFERROR(ROUND(((E49*$I49)+(E49*$J49*0.8)+(E49*$K49*0.9)),2),0)</f>
        <v>14317.88</v>
      </c>
      <c r="M49" s="98">
        <f t="shared" ref="M49:M53" si="35">IFERROR(ROUND(((F49*$I49)+(F49*$J49*0.8)+(F49*$K49*0.9)),2),0)</f>
        <v>11250</v>
      </c>
      <c r="N49" s="98">
        <f t="shared" ref="N49:N53" si="36">ROUND(M49-L49,2)</f>
        <v>-3067.88</v>
      </c>
    </row>
    <row r="50" spans="1:14" s="57" customFormat="1" x14ac:dyDescent="0.25">
      <c r="A50" s="93"/>
      <c r="B50" s="93"/>
      <c r="C50" s="95"/>
      <c r="D50" s="233"/>
      <c r="E50" s="96">
        <f t="shared" si="31"/>
        <v>0</v>
      </c>
      <c r="F50" s="233"/>
      <c r="G50" s="97">
        <f t="shared" si="32"/>
        <v>0</v>
      </c>
      <c r="H50" s="97">
        <f t="shared" si="33"/>
        <v>0</v>
      </c>
      <c r="I50" s="234"/>
      <c r="J50" s="234"/>
      <c r="K50" s="234"/>
      <c r="L50" s="98">
        <f t="shared" si="34"/>
        <v>0</v>
      </c>
      <c r="M50" s="98">
        <f t="shared" si="35"/>
        <v>0</v>
      </c>
      <c r="N50" s="98">
        <f t="shared" si="36"/>
        <v>0</v>
      </c>
    </row>
    <row r="51" spans="1:14" s="57" customFormat="1" x14ac:dyDescent="0.25">
      <c r="A51" s="93"/>
      <c r="B51" s="93"/>
      <c r="C51" s="95"/>
      <c r="D51" s="233"/>
      <c r="E51" s="96">
        <f t="shared" si="31"/>
        <v>0</v>
      </c>
      <c r="F51" s="233"/>
      <c r="G51" s="97">
        <f t="shared" si="32"/>
        <v>0</v>
      </c>
      <c r="H51" s="97">
        <f t="shared" si="33"/>
        <v>0</v>
      </c>
      <c r="I51" s="234"/>
      <c r="J51" s="234"/>
      <c r="K51" s="234"/>
      <c r="L51" s="98">
        <f t="shared" si="34"/>
        <v>0</v>
      </c>
      <c r="M51" s="98">
        <f t="shared" si="35"/>
        <v>0</v>
      </c>
      <c r="N51" s="98">
        <f t="shared" si="36"/>
        <v>0</v>
      </c>
    </row>
    <row r="52" spans="1:14" s="57" customFormat="1" x14ac:dyDescent="0.25">
      <c r="A52" s="93"/>
      <c r="B52" s="93"/>
      <c r="C52" s="95"/>
      <c r="D52" s="233"/>
      <c r="E52" s="96">
        <f t="shared" si="31"/>
        <v>0</v>
      </c>
      <c r="F52" s="233"/>
      <c r="G52" s="97">
        <f t="shared" si="32"/>
        <v>0</v>
      </c>
      <c r="H52" s="97">
        <f t="shared" si="33"/>
        <v>0</v>
      </c>
      <c r="I52" s="234"/>
      <c r="J52" s="234"/>
      <c r="K52" s="234"/>
      <c r="L52" s="98">
        <f t="shared" si="34"/>
        <v>0</v>
      </c>
      <c r="M52" s="98">
        <f t="shared" si="35"/>
        <v>0</v>
      </c>
      <c r="N52" s="98">
        <f t="shared" si="36"/>
        <v>0</v>
      </c>
    </row>
    <row r="53" spans="1:14" s="57" customFormat="1" x14ac:dyDescent="0.25">
      <c r="A53" s="93"/>
      <c r="B53" s="93"/>
      <c r="C53" s="95"/>
      <c r="D53" s="233"/>
      <c r="E53" s="96">
        <f t="shared" si="31"/>
        <v>0</v>
      </c>
      <c r="F53" s="233"/>
      <c r="G53" s="97">
        <f t="shared" si="32"/>
        <v>0</v>
      </c>
      <c r="H53" s="97">
        <f t="shared" si="33"/>
        <v>0</v>
      </c>
      <c r="I53" s="234"/>
      <c r="J53" s="234"/>
      <c r="K53" s="234"/>
      <c r="L53" s="98">
        <f t="shared" si="34"/>
        <v>0</v>
      </c>
      <c r="M53" s="98">
        <f t="shared" si="35"/>
        <v>0</v>
      </c>
      <c r="N53" s="98">
        <f t="shared" si="36"/>
        <v>0</v>
      </c>
    </row>
    <row r="54" spans="1:14" s="199" customFormat="1" ht="33" customHeight="1" x14ac:dyDescent="0.25">
      <c r="A54" s="194"/>
      <c r="B54" s="195" t="s">
        <v>38</v>
      </c>
      <c r="C54" s="195" t="s">
        <v>39</v>
      </c>
      <c r="D54" s="201"/>
      <c r="E54" s="201"/>
      <c r="F54" s="201"/>
      <c r="G54" s="202"/>
      <c r="H54" s="202"/>
      <c r="I54" s="197"/>
      <c r="J54" s="197"/>
      <c r="K54" s="197"/>
      <c r="L54" s="198"/>
      <c r="M54" s="198"/>
      <c r="N54" s="198"/>
    </row>
    <row r="55" spans="1:14" s="57" customFormat="1" x14ac:dyDescent="0.25">
      <c r="A55" s="93" t="s">
        <v>171</v>
      </c>
      <c r="B55" s="93" t="s">
        <v>178</v>
      </c>
      <c r="C55" s="95" t="s">
        <v>39</v>
      </c>
      <c r="D55" s="233">
        <v>100</v>
      </c>
      <c r="E55" s="96">
        <f t="shared" ref="E55:E59" si="37">ROUND(D55*$B$8*$B$9,2)</f>
        <v>127.27</v>
      </c>
      <c r="F55" s="233">
        <v>100</v>
      </c>
      <c r="G55" s="97">
        <f t="shared" ref="G55:G59" si="38">IFERROR(ROUND((F55/E55)-1,3),0)</f>
        <v>-0.214</v>
      </c>
      <c r="H55" s="97">
        <f t="shared" ref="H55:H59" si="39">ROUND(IFERROR((F55/D55)-1,0),3)</f>
        <v>0</v>
      </c>
      <c r="I55" s="234">
        <v>100</v>
      </c>
      <c r="J55" s="234">
        <v>10</v>
      </c>
      <c r="K55" s="234">
        <v>5</v>
      </c>
      <c r="L55" s="98">
        <f t="shared" ref="L55:L59" si="40">IFERROR(ROUND(((E55*$I55)+(E55*$J55*0.8)+(E55*$K55*0.9)),2),0)</f>
        <v>14317.88</v>
      </c>
      <c r="M55" s="98">
        <f t="shared" ref="M55:M59" si="41">IFERROR(ROUND(((F55*$I55)+(F55*$J55*0.8)+(F55*$K55*0.9)),2),0)</f>
        <v>11250</v>
      </c>
      <c r="N55" s="98">
        <f t="shared" ref="N55:N59" si="42">ROUND(M55-L55,2)</f>
        <v>-3067.88</v>
      </c>
    </row>
    <row r="56" spans="1:14" s="57" customFormat="1" x14ac:dyDescent="0.25">
      <c r="A56" s="93"/>
      <c r="B56" s="93"/>
      <c r="C56" s="95"/>
      <c r="D56" s="233"/>
      <c r="E56" s="96">
        <f t="shared" si="37"/>
        <v>0</v>
      </c>
      <c r="F56" s="233"/>
      <c r="G56" s="97">
        <f t="shared" si="38"/>
        <v>0</v>
      </c>
      <c r="H56" s="97">
        <f t="shared" si="39"/>
        <v>0</v>
      </c>
      <c r="I56" s="234"/>
      <c r="J56" s="234"/>
      <c r="K56" s="234"/>
      <c r="L56" s="98">
        <f t="shared" si="40"/>
        <v>0</v>
      </c>
      <c r="M56" s="98">
        <f t="shared" si="41"/>
        <v>0</v>
      </c>
      <c r="N56" s="98">
        <f t="shared" si="42"/>
        <v>0</v>
      </c>
    </row>
    <row r="57" spans="1:14" s="57" customFormat="1" x14ac:dyDescent="0.25">
      <c r="A57" s="93"/>
      <c r="B57" s="93"/>
      <c r="C57" s="95"/>
      <c r="D57" s="233"/>
      <c r="E57" s="96">
        <f t="shared" si="37"/>
        <v>0</v>
      </c>
      <c r="F57" s="233"/>
      <c r="G57" s="97">
        <f t="shared" si="38"/>
        <v>0</v>
      </c>
      <c r="H57" s="97">
        <f t="shared" si="39"/>
        <v>0</v>
      </c>
      <c r="I57" s="234"/>
      <c r="J57" s="234"/>
      <c r="K57" s="234"/>
      <c r="L57" s="98">
        <f t="shared" si="40"/>
        <v>0</v>
      </c>
      <c r="M57" s="98">
        <f t="shared" si="41"/>
        <v>0</v>
      </c>
      <c r="N57" s="98">
        <f t="shared" si="42"/>
        <v>0</v>
      </c>
    </row>
    <row r="58" spans="1:14" s="57" customFormat="1" x14ac:dyDescent="0.25">
      <c r="A58" s="93"/>
      <c r="B58" s="93"/>
      <c r="C58" s="95"/>
      <c r="D58" s="233"/>
      <c r="E58" s="96">
        <f t="shared" si="37"/>
        <v>0</v>
      </c>
      <c r="F58" s="233"/>
      <c r="G58" s="97">
        <f t="shared" si="38"/>
        <v>0</v>
      </c>
      <c r="H58" s="97">
        <f t="shared" si="39"/>
        <v>0</v>
      </c>
      <c r="I58" s="234"/>
      <c r="J58" s="234"/>
      <c r="K58" s="234"/>
      <c r="L58" s="98">
        <f t="shared" si="40"/>
        <v>0</v>
      </c>
      <c r="M58" s="98">
        <f t="shared" si="41"/>
        <v>0</v>
      </c>
      <c r="N58" s="98">
        <f t="shared" si="42"/>
        <v>0</v>
      </c>
    </row>
    <row r="59" spans="1:14" s="57" customFormat="1" x14ac:dyDescent="0.25">
      <c r="A59" s="93"/>
      <c r="B59" s="93"/>
      <c r="C59" s="95"/>
      <c r="D59" s="233"/>
      <c r="E59" s="96">
        <f t="shared" si="37"/>
        <v>0</v>
      </c>
      <c r="F59" s="233"/>
      <c r="G59" s="97">
        <f t="shared" si="38"/>
        <v>0</v>
      </c>
      <c r="H59" s="97">
        <f t="shared" si="39"/>
        <v>0</v>
      </c>
      <c r="I59" s="234"/>
      <c r="J59" s="234"/>
      <c r="K59" s="234"/>
      <c r="L59" s="98">
        <f t="shared" si="40"/>
        <v>0</v>
      </c>
      <c r="M59" s="98">
        <f t="shared" si="41"/>
        <v>0</v>
      </c>
      <c r="N59" s="98">
        <f t="shared" si="42"/>
        <v>0</v>
      </c>
    </row>
    <row r="60" spans="1:14" s="199" customFormat="1" x14ac:dyDescent="0.25">
      <c r="A60" s="194"/>
      <c r="B60" s="195" t="s">
        <v>41</v>
      </c>
      <c r="C60" s="195" t="s">
        <v>42</v>
      </c>
      <c r="D60" s="201"/>
      <c r="E60" s="201"/>
      <c r="F60" s="201"/>
      <c r="G60" s="202"/>
      <c r="H60" s="202"/>
      <c r="I60" s="197"/>
      <c r="J60" s="197"/>
      <c r="K60" s="197"/>
      <c r="L60" s="198"/>
      <c r="M60" s="198"/>
      <c r="N60" s="198"/>
    </row>
    <row r="61" spans="1:14" s="57" customFormat="1" x14ac:dyDescent="0.25">
      <c r="A61" s="93" t="s">
        <v>171</v>
      </c>
      <c r="B61" s="93" t="s">
        <v>179</v>
      </c>
      <c r="C61" s="95" t="s">
        <v>42</v>
      </c>
      <c r="D61" s="233">
        <v>100</v>
      </c>
      <c r="E61" s="96">
        <f t="shared" ref="E61:E65" si="43">ROUND(D61*$B$8*$B$9,2)</f>
        <v>127.27</v>
      </c>
      <c r="F61" s="233">
        <v>100</v>
      </c>
      <c r="G61" s="97">
        <f t="shared" ref="G61:G65" si="44">IFERROR(ROUND((F61/E61)-1,3),0)</f>
        <v>-0.214</v>
      </c>
      <c r="H61" s="97">
        <f t="shared" ref="H61:H65" si="45">ROUND(IFERROR((F61/D61)-1,0),3)</f>
        <v>0</v>
      </c>
      <c r="I61" s="234">
        <v>100</v>
      </c>
      <c r="J61" s="234">
        <v>10</v>
      </c>
      <c r="K61" s="234">
        <v>5</v>
      </c>
      <c r="L61" s="98">
        <f t="shared" ref="L61:L65" si="46">IFERROR(ROUND(((E61*$I61)+(E61*$J61*0.8)+(E61*$K61*0.9)),2),0)</f>
        <v>14317.88</v>
      </c>
      <c r="M61" s="98">
        <f t="shared" ref="M61:M65" si="47">IFERROR(ROUND(((F61*$I61)+(F61*$J61*0.8)+(F61*$K61*0.9)),2),0)</f>
        <v>11250</v>
      </c>
      <c r="N61" s="98">
        <f t="shared" ref="N61:N65" si="48">ROUND(M61-L61,2)</f>
        <v>-3067.88</v>
      </c>
    </row>
    <row r="62" spans="1:14" s="57" customFormat="1" x14ac:dyDescent="0.25">
      <c r="A62" s="93"/>
      <c r="B62" s="93"/>
      <c r="C62" s="95"/>
      <c r="D62" s="233"/>
      <c r="E62" s="96">
        <f t="shared" si="43"/>
        <v>0</v>
      </c>
      <c r="F62" s="233"/>
      <c r="G62" s="97">
        <f t="shared" si="44"/>
        <v>0</v>
      </c>
      <c r="H62" s="97">
        <f t="shared" si="45"/>
        <v>0</v>
      </c>
      <c r="I62" s="234"/>
      <c r="J62" s="234"/>
      <c r="K62" s="234"/>
      <c r="L62" s="98">
        <f t="shared" si="46"/>
        <v>0</v>
      </c>
      <c r="M62" s="98">
        <f t="shared" si="47"/>
        <v>0</v>
      </c>
      <c r="N62" s="98">
        <f t="shared" si="48"/>
        <v>0</v>
      </c>
    </row>
    <row r="63" spans="1:14" s="57" customFormat="1" x14ac:dyDescent="0.25">
      <c r="A63" s="93"/>
      <c r="B63" s="93"/>
      <c r="C63" s="95"/>
      <c r="D63" s="233"/>
      <c r="E63" s="96">
        <f t="shared" si="43"/>
        <v>0</v>
      </c>
      <c r="F63" s="233"/>
      <c r="G63" s="97">
        <f t="shared" si="44"/>
        <v>0</v>
      </c>
      <c r="H63" s="97">
        <f t="shared" si="45"/>
        <v>0</v>
      </c>
      <c r="I63" s="234"/>
      <c r="J63" s="234"/>
      <c r="K63" s="234"/>
      <c r="L63" s="98">
        <f t="shared" si="46"/>
        <v>0</v>
      </c>
      <c r="M63" s="98">
        <f t="shared" si="47"/>
        <v>0</v>
      </c>
      <c r="N63" s="98">
        <f t="shared" si="48"/>
        <v>0</v>
      </c>
    </row>
    <row r="64" spans="1:14" s="57" customFormat="1" x14ac:dyDescent="0.25">
      <c r="A64" s="93"/>
      <c r="B64" s="93"/>
      <c r="C64" s="95"/>
      <c r="D64" s="233"/>
      <c r="E64" s="96">
        <f t="shared" si="43"/>
        <v>0</v>
      </c>
      <c r="F64" s="233"/>
      <c r="G64" s="97">
        <f t="shared" si="44"/>
        <v>0</v>
      </c>
      <c r="H64" s="97">
        <f t="shared" si="45"/>
        <v>0</v>
      </c>
      <c r="I64" s="234"/>
      <c r="J64" s="234"/>
      <c r="K64" s="234"/>
      <c r="L64" s="98">
        <f t="shared" si="46"/>
        <v>0</v>
      </c>
      <c r="M64" s="98">
        <f t="shared" si="47"/>
        <v>0</v>
      </c>
      <c r="N64" s="98">
        <f t="shared" si="48"/>
        <v>0</v>
      </c>
    </row>
    <row r="65" spans="1:15" s="57" customFormat="1" x14ac:dyDescent="0.25">
      <c r="A65" s="93"/>
      <c r="B65" s="93"/>
      <c r="C65" s="95"/>
      <c r="D65" s="233"/>
      <c r="E65" s="96">
        <f t="shared" si="43"/>
        <v>0</v>
      </c>
      <c r="F65" s="233"/>
      <c r="G65" s="97">
        <f t="shared" si="44"/>
        <v>0</v>
      </c>
      <c r="H65" s="97">
        <f t="shared" si="45"/>
        <v>0</v>
      </c>
      <c r="I65" s="234"/>
      <c r="J65" s="234"/>
      <c r="K65" s="234"/>
      <c r="L65" s="98">
        <f t="shared" si="46"/>
        <v>0</v>
      </c>
      <c r="M65" s="98">
        <f t="shared" si="47"/>
        <v>0</v>
      </c>
      <c r="N65" s="98">
        <f t="shared" si="48"/>
        <v>0</v>
      </c>
    </row>
    <row r="66" spans="1:15" s="199" customFormat="1" ht="30" x14ac:dyDescent="0.25">
      <c r="A66" s="194"/>
      <c r="B66" s="195" t="s">
        <v>43</v>
      </c>
      <c r="C66" s="195" t="s">
        <v>44</v>
      </c>
      <c r="D66" s="201"/>
      <c r="E66" s="201"/>
      <c r="F66" s="201"/>
      <c r="G66" s="202"/>
      <c r="H66" s="202"/>
      <c r="I66" s="197"/>
      <c r="J66" s="197"/>
      <c r="K66" s="197"/>
      <c r="L66" s="198"/>
      <c r="M66" s="198"/>
      <c r="N66" s="198"/>
    </row>
    <row r="67" spans="1:15" s="57" customFormat="1" ht="30" x14ac:dyDescent="0.25">
      <c r="A67" s="93" t="s">
        <v>171</v>
      </c>
      <c r="B67" s="94" t="s">
        <v>180</v>
      </c>
      <c r="C67" s="95" t="s">
        <v>44</v>
      </c>
      <c r="D67" s="96">
        <v>100</v>
      </c>
      <c r="E67" s="96">
        <f t="shared" ref="E67:E71" si="49">ROUND(D67*$B$8*$B$9,2)</f>
        <v>127.27</v>
      </c>
      <c r="F67" s="96">
        <v>100</v>
      </c>
      <c r="G67" s="97">
        <f t="shared" ref="G67:G71" si="50">IFERROR(ROUND((F67/E67)-1,3),0)</f>
        <v>-0.214</v>
      </c>
      <c r="H67" s="97">
        <f t="shared" ref="H67:H71" si="51">ROUND(IFERROR((F67/D67)-1,0),3)</f>
        <v>0</v>
      </c>
      <c r="I67" s="234">
        <v>100</v>
      </c>
      <c r="J67" s="234">
        <v>10</v>
      </c>
      <c r="K67" s="234">
        <v>5</v>
      </c>
      <c r="L67" s="98">
        <f t="shared" ref="L67:L71" si="52">IFERROR(ROUND(((E67*$I67)+(E67*$J67*0.8)+(E67*$K67*0.9)),2),0)</f>
        <v>14317.88</v>
      </c>
      <c r="M67" s="98">
        <f t="shared" ref="M67:M71" si="53">IFERROR(ROUND(((F67*$I67)+(F67*$J67*0.8)+(F67*$K67*0.9)),2),0)</f>
        <v>11250</v>
      </c>
      <c r="N67" s="98">
        <f t="shared" ref="N67:N71" si="54">ROUND(M67-L67,2)</f>
        <v>-3067.88</v>
      </c>
    </row>
    <row r="68" spans="1:15" s="57" customFormat="1" x14ac:dyDescent="0.25">
      <c r="A68" s="93"/>
      <c r="B68" s="93"/>
      <c r="C68" s="95"/>
      <c r="D68" s="233"/>
      <c r="E68" s="96">
        <f t="shared" si="49"/>
        <v>0</v>
      </c>
      <c r="F68" s="233"/>
      <c r="G68" s="97">
        <f t="shared" si="50"/>
        <v>0</v>
      </c>
      <c r="H68" s="97">
        <f t="shared" si="51"/>
        <v>0</v>
      </c>
      <c r="I68" s="234"/>
      <c r="J68" s="234"/>
      <c r="K68" s="234"/>
      <c r="L68" s="98">
        <f t="shared" si="52"/>
        <v>0</v>
      </c>
      <c r="M68" s="98">
        <f t="shared" si="53"/>
        <v>0</v>
      </c>
      <c r="N68" s="98">
        <f t="shared" si="54"/>
        <v>0</v>
      </c>
    </row>
    <row r="69" spans="1:15" s="57" customFormat="1" x14ac:dyDescent="0.25">
      <c r="A69" s="93"/>
      <c r="B69" s="93"/>
      <c r="C69" s="95"/>
      <c r="D69" s="233"/>
      <c r="E69" s="96">
        <f t="shared" si="49"/>
        <v>0</v>
      </c>
      <c r="F69" s="233"/>
      <c r="G69" s="97">
        <f t="shared" si="50"/>
        <v>0</v>
      </c>
      <c r="H69" s="97">
        <f t="shared" si="51"/>
        <v>0</v>
      </c>
      <c r="I69" s="234"/>
      <c r="J69" s="234"/>
      <c r="K69" s="234"/>
      <c r="L69" s="98">
        <f t="shared" si="52"/>
        <v>0</v>
      </c>
      <c r="M69" s="98">
        <f t="shared" si="53"/>
        <v>0</v>
      </c>
      <c r="N69" s="98">
        <f t="shared" si="54"/>
        <v>0</v>
      </c>
    </row>
    <row r="70" spans="1:15" s="57" customFormat="1" x14ac:dyDescent="0.25">
      <c r="A70" s="93"/>
      <c r="B70" s="93"/>
      <c r="C70" s="95"/>
      <c r="D70" s="233"/>
      <c r="E70" s="96">
        <f t="shared" si="49"/>
        <v>0</v>
      </c>
      <c r="F70" s="233"/>
      <c r="G70" s="97">
        <f t="shared" si="50"/>
        <v>0</v>
      </c>
      <c r="H70" s="97">
        <f t="shared" si="51"/>
        <v>0</v>
      </c>
      <c r="I70" s="234"/>
      <c r="J70" s="234"/>
      <c r="K70" s="234"/>
      <c r="L70" s="98">
        <f t="shared" si="52"/>
        <v>0</v>
      </c>
      <c r="M70" s="98">
        <f t="shared" si="53"/>
        <v>0</v>
      </c>
      <c r="N70" s="98">
        <f t="shared" si="54"/>
        <v>0</v>
      </c>
    </row>
    <row r="71" spans="1:15" s="57" customFormat="1" x14ac:dyDescent="0.25">
      <c r="A71" s="93"/>
      <c r="B71" s="93"/>
      <c r="C71" s="95"/>
      <c r="D71" s="233"/>
      <c r="E71" s="96">
        <f t="shared" si="49"/>
        <v>0</v>
      </c>
      <c r="F71" s="233"/>
      <c r="G71" s="97">
        <f t="shared" si="50"/>
        <v>0</v>
      </c>
      <c r="H71" s="97">
        <f t="shared" si="51"/>
        <v>0</v>
      </c>
      <c r="I71" s="234"/>
      <c r="J71" s="234"/>
      <c r="K71" s="234"/>
      <c r="L71" s="98">
        <f t="shared" si="52"/>
        <v>0</v>
      </c>
      <c r="M71" s="98">
        <f t="shared" si="53"/>
        <v>0</v>
      </c>
      <c r="N71" s="98">
        <f t="shared" si="54"/>
        <v>0</v>
      </c>
    </row>
    <row r="72" spans="1:15" s="199" customFormat="1" ht="30" x14ac:dyDescent="0.25">
      <c r="A72" s="194"/>
      <c r="B72" s="195" t="s">
        <v>52</v>
      </c>
      <c r="C72" s="195" t="s">
        <v>53</v>
      </c>
      <c r="D72" s="201"/>
      <c r="E72" s="201"/>
      <c r="F72" s="201"/>
      <c r="G72" s="202"/>
      <c r="H72" s="202"/>
      <c r="I72" s="197"/>
      <c r="J72" s="197"/>
      <c r="K72" s="197"/>
      <c r="L72" s="198"/>
      <c r="M72" s="198"/>
      <c r="N72" s="198"/>
    </row>
    <row r="73" spans="1:15" s="57" customFormat="1" x14ac:dyDescent="0.25">
      <c r="A73" s="93" t="s">
        <v>171</v>
      </c>
      <c r="B73" s="93" t="s">
        <v>181</v>
      </c>
      <c r="C73" s="95" t="s">
        <v>53</v>
      </c>
      <c r="D73" s="233">
        <v>100</v>
      </c>
      <c r="E73" s="96">
        <f t="shared" ref="E73:E77" si="55">ROUND(D73*$B$8*$B$9,2)</f>
        <v>127.27</v>
      </c>
      <c r="F73" s="233">
        <v>100</v>
      </c>
      <c r="G73" s="97">
        <f t="shared" ref="G73:G77" si="56">IFERROR(ROUND((F73/E73)-1,3),0)</f>
        <v>-0.214</v>
      </c>
      <c r="H73" s="97">
        <f t="shared" ref="H73:H77" si="57">ROUND(IFERROR((F73/D73)-1,0),3)</f>
        <v>0</v>
      </c>
      <c r="I73" s="234">
        <v>100</v>
      </c>
      <c r="J73" s="234">
        <v>10</v>
      </c>
      <c r="K73" s="234">
        <v>5</v>
      </c>
      <c r="L73" s="98">
        <f t="shared" ref="L73:L77" si="58">IFERROR(ROUND(((E73*$I73)+(E73*$J73*0.8)+(E73*$K73*0.9)),2),0)</f>
        <v>14317.88</v>
      </c>
      <c r="M73" s="98">
        <f t="shared" ref="M73:M77" si="59">IFERROR(ROUND(((F73*$I73)+(F73*$J73*0.8)+(F73*$K73*0.9)),2),0)</f>
        <v>11250</v>
      </c>
      <c r="N73" s="98">
        <f t="shared" ref="N73:N77" si="60">ROUND(M73-L73,2)</f>
        <v>-3067.88</v>
      </c>
    </row>
    <row r="74" spans="1:15" s="57" customFormat="1" x14ac:dyDescent="0.25">
      <c r="A74" s="93"/>
      <c r="B74" s="93"/>
      <c r="C74" s="95"/>
      <c r="D74" s="233"/>
      <c r="E74" s="96">
        <f t="shared" si="55"/>
        <v>0</v>
      </c>
      <c r="F74" s="233"/>
      <c r="G74" s="97">
        <f t="shared" si="56"/>
        <v>0</v>
      </c>
      <c r="H74" s="97">
        <f t="shared" si="57"/>
        <v>0</v>
      </c>
      <c r="I74" s="234"/>
      <c r="J74" s="234"/>
      <c r="K74" s="234"/>
      <c r="L74" s="98">
        <f t="shared" si="58"/>
        <v>0</v>
      </c>
      <c r="M74" s="98">
        <f t="shared" si="59"/>
        <v>0</v>
      </c>
      <c r="N74" s="98">
        <f t="shared" si="60"/>
        <v>0</v>
      </c>
    </row>
    <row r="75" spans="1:15" s="57" customFormat="1" x14ac:dyDescent="0.25">
      <c r="A75" s="93"/>
      <c r="B75" s="93"/>
      <c r="C75" s="95"/>
      <c r="D75" s="233"/>
      <c r="E75" s="96">
        <f t="shared" si="55"/>
        <v>0</v>
      </c>
      <c r="F75" s="233"/>
      <c r="G75" s="97">
        <f t="shared" si="56"/>
        <v>0</v>
      </c>
      <c r="H75" s="97">
        <f t="shared" si="57"/>
        <v>0</v>
      </c>
      <c r="I75" s="234"/>
      <c r="J75" s="234"/>
      <c r="K75" s="234"/>
      <c r="L75" s="98">
        <f t="shared" si="58"/>
        <v>0</v>
      </c>
      <c r="M75" s="98">
        <f t="shared" si="59"/>
        <v>0</v>
      </c>
      <c r="N75" s="98">
        <f t="shared" si="60"/>
        <v>0</v>
      </c>
    </row>
    <row r="76" spans="1:15" s="57" customFormat="1" x14ac:dyDescent="0.25">
      <c r="A76" s="93"/>
      <c r="B76" s="93"/>
      <c r="C76" s="95"/>
      <c r="D76" s="233"/>
      <c r="E76" s="96">
        <f t="shared" si="55"/>
        <v>0</v>
      </c>
      <c r="F76" s="233"/>
      <c r="G76" s="97">
        <f t="shared" si="56"/>
        <v>0</v>
      </c>
      <c r="H76" s="97">
        <f t="shared" si="57"/>
        <v>0</v>
      </c>
      <c r="I76" s="234"/>
      <c r="J76" s="234"/>
      <c r="K76" s="234"/>
      <c r="L76" s="98">
        <f t="shared" si="58"/>
        <v>0</v>
      </c>
      <c r="M76" s="98">
        <f t="shared" si="59"/>
        <v>0</v>
      </c>
      <c r="N76" s="98">
        <f t="shared" si="60"/>
        <v>0</v>
      </c>
    </row>
    <row r="77" spans="1:15" s="57" customFormat="1" x14ac:dyDescent="0.25">
      <c r="A77" s="93"/>
      <c r="B77" s="93"/>
      <c r="C77" s="95"/>
      <c r="D77" s="233"/>
      <c r="E77" s="96">
        <f t="shared" si="55"/>
        <v>0</v>
      </c>
      <c r="F77" s="233"/>
      <c r="G77" s="97">
        <f t="shared" si="56"/>
        <v>0</v>
      </c>
      <c r="H77" s="97">
        <f t="shared" si="57"/>
        <v>0</v>
      </c>
      <c r="I77" s="234"/>
      <c r="J77" s="234"/>
      <c r="K77" s="234"/>
      <c r="L77" s="98">
        <f t="shared" si="58"/>
        <v>0</v>
      </c>
      <c r="M77" s="98">
        <f t="shared" si="59"/>
        <v>0</v>
      </c>
      <c r="N77" s="98">
        <f t="shared" si="60"/>
        <v>0</v>
      </c>
    </row>
    <row r="78" spans="1:15" s="57" customFormat="1" x14ac:dyDescent="0.25">
      <c r="A78" s="146"/>
      <c r="C78" s="80"/>
      <c r="D78" s="147"/>
      <c r="E78" s="147"/>
      <c r="F78" s="147"/>
      <c r="G78" s="148"/>
      <c r="H78" s="148"/>
      <c r="I78" s="149"/>
      <c r="J78" s="149"/>
      <c r="K78" s="149"/>
      <c r="L78" s="150"/>
      <c r="M78" s="150"/>
      <c r="N78" s="150"/>
    </row>
    <row r="79" spans="1:15" s="57" customFormat="1" x14ac:dyDescent="0.25">
      <c r="A79" s="146"/>
      <c r="C79" s="80"/>
      <c r="D79" s="147"/>
      <c r="E79" s="147"/>
      <c r="F79" s="147"/>
      <c r="G79" s="148"/>
      <c r="H79" s="148"/>
      <c r="I79" s="149"/>
      <c r="J79" s="149"/>
      <c r="K79" s="149"/>
      <c r="L79" s="150"/>
      <c r="M79" s="150"/>
      <c r="N79" s="150"/>
    </row>
    <row r="80" spans="1:15" ht="15.75" thickBot="1" x14ac:dyDescent="0.3">
      <c r="M80" s="72"/>
      <c r="N80" s="72"/>
      <c r="O80" s="72"/>
    </row>
    <row r="81" spans="1:15" ht="14.45" customHeight="1" x14ac:dyDescent="0.25">
      <c r="A81" s="347" t="s">
        <v>15</v>
      </c>
      <c r="B81" s="348"/>
      <c r="C81" s="348"/>
      <c r="D81" s="348"/>
      <c r="E81" s="348"/>
      <c r="F81" s="348"/>
      <c r="G81" s="348"/>
      <c r="H81" s="348"/>
      <c r="I81" s="348"/>
      <c r="J81" s="348"/>
      <c r="K81" s="348"/>
      <c r="L81" s="349"/>
      <c r="M81" s="70"/>
      <c r="N81" s="70"/>
      <c r="O81" s="70"/>
    </row>
    <row r="82" spans="1:15" ht="14.45" customHeight="1" thickBot="1" x14ac:dyDescent="0.3">
      <c r="A82" s="350"/>
      <c r="B82" s="351"/>
      <c r="C82" s="351"/>
      <c r="D82" s="351"/>
      <c r="E82" s="351"/>
      <c r="F82" s="351"/>
      <c r="G82" s="351"/>
      <c r="H82" s="351"/>
      <c r="I82" s="351"/>
      <c r="J82" s="351"/>
      <c r="K82" s="351"/>
      <c r="L82" s="352"/>
      <c r="M82" s="70"/>
      <c r="N82" s="70"/>
      <c r="O82" s="70"/>
    </row>
    <row r="83" spans="1:15" s="73" customFormat="1" ht="14.45" customHeight="1" x14ac:dyDescent="0.2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1:15" ht="15.75" x14ac:dyDescent="0.25">
      <c r="D84" s="101"/>
      <c r="E84" s="101"/>
      <c r="F84" s="101"/>
      <c r="G84" s="101"/>
      <c r="H84" s="101"/>
      <c r="I84" s="81"/>
      <c r="J84" s="346" t="s">
        <v>12</v>
      </c>
      <c r="K84" s="346"/>
      <c r="L84" s="346"/>
      <c r="M84" s="83"/>
    </row>
    <row r="85" spans="1:15" ht="125.25" customHeight="1" x14ac:dyDescent="0.25">
      <c r="A85" s="84" t="s">
        <v>18</v>
      </c>
      <c r="B85" s="84" t="s">
        <v>14</v>
      </c>
      <c r="C85" s="85" t="s">
        <v>1</v>
      </c>
      <c r="D85" s="291" t="s">
        <v>140</v>
      </c>
      <c r="E85" s="291" t="s">
        <v>135</v>
      </c>
      <c r="F85" s="291" t="s">
        <v>136</v>
      </c>
      <c r="G85" s="291" t="s">
        <v>137</v>
      </c>
      <c r="H85" s="291" t="s">
        <v>63</v>
      </c>
      <c r="I85" s="294" t="s">
        <v>141</v>
      </c>
      <c r="J85" s="293" t="s">
        <v>138</v>
      </c>
      <c r="K85" s="293" t="s">
        <v>22</v>
      </c>
      <c r="L85" s="291" t="s">
        <v>142</v>
      </c>
      <c r="M85" s="59"/>
    </row>
    <row r="86" spans="1:15" x14ac:dyDescent="0.25">
      <c r="A86" s="102"/>
      <c r="B86" s="103"/>
      <c r="C86" s="104" t="str">
        <f>"Col "&amp;COLUMN(C86)+36</f>
        <v>Col 39</v>
      </c>
      <c r="D86" s="104" t="str">
        <f t="shared" ref="D86:L86" si="61">"Col "&amp;COLUMN(D86)+36</f>
        <v>Col 40</v>
      </c>
      <c r="E86" s="104" t="str">
        <f t="shared" si="61"/>
        <v>Col 41</v>
      </c>
      <c r="F86" s="104" t="str">
        <f t="shared" si="61"/>
        <v>Col 42</v>
      </c>
      <c r="G86" s="104" t="str">
        <f t="shared" si="61"/>
        <v>Col 43</v>
      </c>
      <c r="H86" s="104" t="str">
        <f t="shared" si="61"/>
        <v>Col 44</v>
      </c>
      <c r="I86" s="104" t="str">
        <f t="shared" si="61"/>
        <v>Col 45</v>
      </c>
      <c r="J86" s="104" t="str">
        <f t="shared" si="61"/>
        <v>Col 46</v>
      </c>
      <c r="K86" s="104" t="str">
        <f t="shared" si="61"/>
        <v>Col 47</v>
      </c>
      <c r="L86" s="104" t="str">
        <f t="shared" si="61"/>
        <v>Col 48</v>
      </c>
      <c r="M86" s="59"/>
    </row>
    <row r="87" spans="1:15" ht="155.25" customHeight="1" x14ac:dyDescent="0.25">
      <c r="A87" s="84" t="s">
        <v>2</v>
      </c>
      <c r="B87" s="84" t="s">
        <v>2</v>
      </c>
      <c r="C87" s="105" t="s">
        <v>2</v>
      </c>
      <c r="D87" s="86" t="s">
        <v>2</v>
      </c>
      <c r="E87" s="299" t="str">
        <f>D86&amp;" X Category Relationship Unfreeze Factor X Net Contributor or Net Recipient Factor"</f>
        <v>Col 40 X Category Relationship Unfreeze Factor X Net Contributor or Net Recipient Factor</v>
      </c>
      <c r="F87" s="86" t="s">
        <v>2</v>
      </c>
      <c r="G87" s="86" t="str">
        <f>"("&amp;F86&amp;" / "&amp;E86&amp;") - 1"</f>
        <v>(Col 42 / Col 41) - 1</v>
      </c>
      <c r="H87" s="86" t="str">
        <f>"("&amp;F86&amp;" / "&amp;D86&amp;") - 1"</f>
        <v>(Col 42 / Col 40) - 1</v>
      </c>
      <c r="I87" s="86" t="s">
        <v>2</v>
      </c>
      <c r="J87" s="106" t="str">
        <f>E86&amp;" X "&amp;I86</f>
        <v>Col 41 X Col 45</v>
      </c>
      <c r="K87" s="106" t="str">
        <f>F86&amp;" X "&amp;I86</f>
        <v>Col 42 X Col 45</v>
      </c>
      <c r="L87" s="107" t="str">
        <f>K86&amp;" - "&amp;J86</f>
        <v>Col 47 - Col 46</v>
      </c>
      <c r="M87" s="57"/>
    </row>
    <row r="88" spans="1:15" s="207" customFormat="1" ht="33" customHeight="1" x14ac:dyDescent="0.25">
      <c r="A88" s="194"/>
      <c r="B88" s="195" t="s">
        <v>33</v>
      </c>
      <c r="C88" s="195" t="s">
        <v>27</v>
      </c>
      <c r="D88" s="203"/>
      <c r="E88" s="203"/>
      <c r="F88" s="203"/>
      <c r="G88" s="203"/>
      <c r="H88" s="203"/>
      <c r="I88" s="204"/>
      <c r="J88" s="205"/>
      <c r="K88" s="205"/>
      <c r="L88" s="205"/>
      <c r="M88" s="206"/>
    </row>
    <row r="89" spans="1:15" s="73" customFormat="1" x14ac:dyDescent="0.25">
      <c r="A89" s="93" t="s">
        <v>171</v>
      </c>
      <c r="B89" s="93" t="s">
        <v>182</v>
      </c>
      <c r="C89" s="95" t="s">
        <v>27</v>
      </c>
      <c r="D89" s="190">
        <v>100</v>
      </c>
      <c r="E89" s="96">
        <f t="shared" ref="E89:E90" si="62">ROUND(D89*$B$8*$B$9,2)</f>
        <v>127.27</v>
      </c>
      <c r="F89" s="190">
        <v>100</v>
      </c>
      <c r="G89" s="97">
        <f>IFERROR(ROUND((F89/E89)-1,3),0)</f>
        <v>-0.214</v>
      </c>
      <c r="H89" s="97">
        <f>IFERROR(ROUND((F89/D89)-1,3),0)</f>
        <v>0</v>
      </c>
      <c r="I89" s="200">
        <v>100</v>
      </c>
      <c r="J89" s="108">
        <f>ROUND(E89*$I89,2)</f>
        <v>12727</v>
      </c>
      <c r="K89" s="108">
        <f>ROUND(F89*$I89,2)</f>
        <v>10000</v>
      </c>
      <c r="L89" s="108">
        <f>ROUND(K89-J89,2)</f>
        <v>-2727</v>
      </c>
    </row>
    <row r="90" spans="1:15" s="73" customFormat="1" x14ac:dyDescent="0.25">
      <c r="A90" s="93"/>
      <c r="B90" s="93"/>
      <c r="C90" s="95"/>
      <c r="D90" s="190"/>
      <c r="E90" s="96">
        <f t="shared" si="62"/>
        <v>0</v>
      </c>
      <c r="F90" s="190"/>
      <c r="G90" s="97">
        <f>IFERROR(ROUND((F90/E90)-1,3),0)</f>
        <v>0</v>
      </c>
      <c r="H90" s="97">
        <f>IFERROR(ROUND((F90/D90)-1,3),0)</f>
        <v>0</v>
      </c>
      <c r="I90" s="200"/>
      <c r="J90" s="108">
        <f>ROUND(E90*$I90,2)</f>
        <v>0</v>
      </c>
      <c r="K90" s="108">
        <f>ROUND(F90*$I90,2)</f>
        <v>0</v>
      </c>
      <c r="L90" s="108">
        <f>ROUND(K90-J90,2)</f>
        <v>0</v>
      </c>
    </row>
    <row r="91" spans="1:15" x14ac:dyDescent="0.25">
      <c r="A91" s="93"/>
      <c r="B91" s="93"/>
      <c r="C91" s="95"/>
      <c r="D91" s="190"/>
      <c r="E91" s="96">
        <f t="shared" ref="E91:E93" si="63">ROUND(D91*$B$8*$B$9,2)</f>
        <v>0</v>
      </c>
      <c r="F91" s="190"/>
      <c r="G91" s="97">
        <f t="shared" ref="G91:G93" si="64">IFERROR(ROUND((F91/E91)-1,3),0)</f>
        <v>0</v>
      </c>
      <c r="H91" s="97">
        <f t="shared" ref="H91:H93" si="65">IFERROR(ROUND((F91/D91)-1,3),0)</f>
        <v>0</v>
      </c>
      <c r="I91" s="200"/>
      <c r="J91" s="108">
        <f t="shared" ref="J91:J93" si="66">ROUND(E91*$I91,2)</f>
        <v>0</v>
      </c>
      <c r="K91" s="108">
        <f t="shared" ref="K91:K93" si="67">ROUND(F91*$I91,2)</f>
        <v>0</v>
      </c>
      <c r="L91" s="108">
        <f t="shared" ref="L91:L93" si="68">ROUND(K91-J91,2)</f>
        <v>0</v>
      </c>
      <c r="M91" s="99"/>
    </row>
    <row r="92" spans="1:15" x14ac:dyDescent="0.25">
      <c r="A92" s="93"/>
      <c r="B92" s="93"/>
      <c r="C92" s="95"/>
      <c r="D92" s="190"/>
      <c r="E92" s="96">
        <f t="shared" si="63"/>
        <v>0</v>
      </c>
      <c r="F92" s="190"/>
      <c r="G92" s="97">
        <f t="shared" si="64"/>
        <v>0</v>
      </c>
      <c r="H92" s="97">
        <f t="shared" si="65"/>
        <v>0</v>
      </c>
      <c r="I92" s="200"/>
      <c r="J92" s="108">
        <f t="shared" si="66"/>
        <v>0</v>
      </c>
      <c r="K92" s="108">
        <f t="shared" si="67"/>
        <v>0</v>
      </c>
      <c r="L92" s="108">
        <f t="shared" si="68"/>
        <v>0</v>
      </c>
      <c r="M92" s="99"/>
    </row>
    <row r="93" spans="1:15" x14ac:dyDescent="0.25">
      <c r="A93" s="93"/>
      <c r="B93" s="93"/>
      <c r="C93" s="95"/>
      <c r="D93" s="190"/>
      <c r="E93" s="96">
        <f t="shared" si="63"/>
        <v>0</v>
      </c>
      <c r="F93" s="190"/>
      <c r="G93" s="97">
        <f t="shared" si="64"/>
        <v>0</v>
      </c>
      <c r="H93" s="97">
        <f t="shared" si="65"/>
        <v>0</v>
      </c>
      <c r="I93" s="200"/>
      <c r="J93" s="108">
        <f t="shared" si="66"/>
        <v>0</v>
      </c>
      <c r="K93" s="108">
        <f t="shared" si="67"/>
        <v>0</v>
      </c>
      <c r="L93" s="108">
        <f t="shared" si="68"/>
        <v>0</v>
      </c>
      <c r="M93" s="99"/>
    </row>
    <row r="94" spans="1:15" s="207" customFormat="1" ht="33" customHeight="1" x14ac:dyDescent="0.25">
      <c r="A94" s="194"/>
      <c r="B94" s="195" t="s">
        <v>32</v>
      </c>
      <c r="C94" s="195" t="s">
        <v>28</v>
      </c>
      <c r="D94" s="208"/>
      <c r="E94" s="208"/>
      <c r="F94" s="208"/>
      <c r="G94" s="208"/>
      <c r="H94" s="208"/>
      <c r="I94" s="209"/>
      <c r="J94" s="210"/>
      <c r="K94" s="210"/>
      <c r="L94" s="211"/>
    </row>
    <row r="95" spans="1:15" x14ac:dyDescent="0.25">
      <c r="A95" s="93" t="s">
        <v>171</v>
      </c>
      <c r="B95" s="94" t="s">
        <v>173</v>
      </c>
      <c r="C95" s="95" t="s">
        <v>28</v>
      </c>
      <c r="D95" s="96">
        <v>100</v>
      </c>
      <c r="E95" s="96">
        <f t="shared" ref="E95:E99" si="69">ROUND(D95*$B$8*$B$9,2)</f>
        <v>127.27</v>
      </c>
      <c r="F95" s="96">
        <v>100</v>
      </c>
      <c r="G95" s="97">
        <f>IFERROR(ROUND((F95/E95)-1,3),0)</f>
        <v>-0.214</v>
      </c>
      <c r="H95" s="97">
        <f>IFERROR(ROUND((F95/D95)-1,3),0)</f>
        <v>0</v>
      </c>
      <c r="I95" s="200">
        <v>100</v>
      </c>
      <c r="J95" s="108">
        <f>ROUND(E95*$I95,2)</f>
        <v>12727</v>
      </c>
      <c r="K95" s="108">
        <f>ROUND(F95*$I95,2)</f>
        <v>10000</v>
      </c>
      <c r="L95" s="108">
        <f>ROUND(K95-J95,2)</f>
        <v>-2727</v>
      </c>
    </row>
    <row r="96" spans="1:15" s="73" customFormat="1" x14ac:dyDescent="0.25">
      <c r="A96" s="93"/>
      <c r="B96" s="93"/>
      <c r="C96" s="95"/>
      <c r="D96" s="190"/>
      <c r="E96" s="96">
        <f t="shared" si="69"/>
        <v>0</v>
      </c>
      <c r="F96" s="190"/>
      <c r="G96" s="97">
        <f>IFERROR(ROUND((F96/E96)-1,3),0)</f>
        <v>0</v>
      </c>
      <c r="H96" s="97">
        <f>IFERROR(ROUND((F96/D96)-1,3),0)</f>
        <v>0</v>
      </c>
      <c r="I96" s="200"/>
      <c r="J96" s="108">
        <f>ROUND(E96*$I96,2)</f>
        <v>0</v>
      </c>
      <c r="K96" s="108">
        <f>ROUND(F96*$I96,2)</f>
        <v>0</v>
      </c>
      <c r="L96" s="108">
        <f>ROUND(K96-J96,2)</f>
        <v>0</v>
      </c>
    </row>
    <row r="97" spans="1:13" x14ac:dyDescent="0.25">
      <c r="A97" s="93"/>
      <c r="B97" s="93"/>
      <c r="C97" s="95"/>
      <c r="D97" s="190"/>
      <c r="E97" s="96">
        <f t="shared" si="69"/>
        <v>0</v>
      </c>
      <c r="F97" s="190"/>
      <c r="G97" s="97">
        <f t="shared" ref="G97:G99" si="70">IFERROR(ROUND((F97/E97)-1,3),0)</f>
        <v>0</v>
      </c>
      <c r="H97" s="97">
        <f t="shared" ref="H97:H99" si="71">IFERROR(ROUND((F97/D97)-1,3),0)</f>
        <v>0</v>
      </c>
      <c r="I97" s="200"/>
      <c r="J97" s="108">
        <f t="shared" ref="J97:J99" si="72">ROUND(E97*$I97,2)</f>
        <v>0</v>
      </c>
      <c r="K97" s="108">
        <f t="shared" ref="K97:K99" si="73">ROUND(F97*$I97,2)</f>
        <v>0</v>
      </c>
      <c r="L97" s="108">
        <f t="shared" ref="L97:L99" si="74">ROUND(K97-J97,2)</f>
        <v>0</v>
      </c>
      <c r="M97" s="99"/>
    </row>
    <row r="98" spans="1:13" x14ac:dyDescent="0.25">
      <c r="A98" s="93"/>
      <c r="B98" s="93"/>
      <c r="C98" s="95"/>
      <c r="D98" s="190"/>
      <c r="E98" s="96">
        <f t="shared" si="69"/>
        <v>0</v>
      </c>
      <c r="F98" s="190"/>
      <c r="G98" s="97">
        <f t="shared" si="70"/>
        <v>0</v>
      </c>
      <c r="H98" s="97">
        <f t="shared" si="71"/>
        <v>0</v>
      </c>
      <c r="I98" s="200"/>
      <c r="J98" s="108">
        <f t="shared" si="72"/>
        <v>0</v>
      </c>
      <c r="K98" s="108">
        <f t="shared" si="73"/>
        <v>0</v>
      </c>
      <c r="L98" s="108">
        <f t="shared" si="74"/>
        <v>0</v>
      </c>
      <c r="M98" s="99"/>
    </row>
    <row r="99" spans="1:13" x14ac:dyDescent="0.25">
      <c r="A99" s="93"/>
      <c r="B99" s="93"/>
      <c r="C99" s="95"/>
      <c r="D99" s="190"/>
      <c r="E99" s="96">
        <f t="shared" si="69"/>
        <v>0</v>
      </c>
      <c r="F99" s="190"/>
      <c r="G99" s="97">
        <f t="shared" si="70"/>
        <v>0</v>
      </c>
      <c r="H99" s="97">
        <f t="shared" si="71"/>
        <v>0</v>
      </c>
      <c r="I99" s="200"/>
      <c r="J99" s="108">
        <f t="shared" si="72"/>
        <v>0</v>
      </c>
      <c r="K99" s="108">
        <f t="shared" si="73"/>
        <v>0</v>
      </c>
      <c r="L99" s="108">
        <f t="shared" si="74"/>
        <v>0</v>
      </c>
      <c r="M99" s="99"/>
    </row>
    <row r="100" spans="1:13" s="207" customFormat="1" ht="31.5" customHeight="1" x14ac:dyDescent="0.25">
      <c r="A100" s="194"/>
      <c r="B100" s="195" t="s">
        <v>31</v>
      </c>
      <c r="C100" s="195" t="s">
        <v>29</v>
      </c>
      <c r="D100" s="208"/>
      <c r="E100" s="208"/>
      <c r="F100" s="208"/>
      <c r="G100" s="208"/>
      <c r="H100" s="208"/>
      <c r="I100" s="209"/>
      <c r="J100" s="210"/>
      <c r="K100" s="210"/>
      <c r="L100" s="211"/>
    </row>
    <row r="101" spans="1:13" x14ac:dyDescent="0.25">
      <c r="A101" s="93" t="s">
        <v>171</v>
      </c>
      <c r="B101" s="93" t="s">
        <v>174</v>
      </c>
      <c r="C101" s="95" t="s">
        <v>29</v>
      </c>
      <c r="D101" s="190">
        <v>100</v>
      </c>
      <c r="E101" s="96">
        <f t="shared" ref="E101:E105" si="75">ROUND(D101*$B$8*$B$9,2)</f>
        <v>127.27</v>
      </c>
      <c r="F101" s="190">
        <v>100</v>
      </c>
      <c r="G101" s="97">
        <f t="shared" ref="G101" si="76">IFERROR(ROUND((F101/E101)-1,3),0)</f>
        <v>-0.214</v>
      </c>
      <c r="H101" s="97">
        <f t="shared" ref="H101" si="77">IFERROR(ROUND((F101/D101)-1,3),0)</f>
        <v>0</v>
      </c>
      <c r="I101" s="200">
        <v>100</v>
      </c>
      <c r="J101" s="108">
        <f t="shared" ref="J101" si="78">ROUND(E101*$I101,2)</f>
        <v>12727</v>
      </c>
      <c r="K101" s="108">
        <f t="shared" ref="K101" si="79">ROUND(F101*$I101,2)</f>
        <v>10000</v>
      </c>
      <c r="L101" s="108">
        <f t="shared" ref="L101" si="80">ROUND(K101-J101,2)</f>
        <v>-2727</v>
      </c>
    </row>
    <row r="102" spans="1:13" s="73" customFormat="1" x14ac:dyDescent="0.25">
      <c r="A102" s="93"/>
      <c r="B102" s="93"/>
      <c r="C102" s="95"/>
      <c r="D102" s="190"/>
      <c r="E102" s="96">
        <f t="shared" si="75"/>
        <v>0</v>
      </c>
      <c r="F102" s="190"/>
      <c r="G102" s="97">
        <f>IFERROR(ROUND((F102/E102)-1,3),0)</f>
        <v>0</v>
      </c>
      <c r="H102" s="97">
        <f>IFERROR(ROUND((F102/D102)-1,3),0)</f>
        <v>0</v>
      </c>
      <c r="I102" s="200"/>
      <c r="J102" s="108">
        <f>ROUND(E102*$I102,2)</f>
        <v>0</v>
      </c>
      <c r="K102" s="108">
        <f>ROUND(F102*$I102,2)</f>
        <v>0</v>
      </c>
      <c r="L102" s="108">
        <f>ROUND(K102-J102,2)</f>
        <v>0</v>
      </c>
    </row>
    <row r="103" spans="1:13" x14ac:dyDescent="0.25">
      <c r="A103" s="93"/>
      <c r="B103" s="93"/>
      <c r="C103" s="95"/>
      <c r="D103" s="190"/>
      <c r="E103" s="96">
        <f t="shared" si="75"/>
        <v>0</v>
      </c>
      <c r="F103" s="190"/>
      <c r="G103" s="97">
        <f t="shared" ref="G103:G105" si="81">IFERROR(ROUND((F103/E103)-1,3),0)</f>
        <v>0</v>
      </c>
      <c r="H103" s="97">
        <f t="shared" ref="H103:H105" si="82">IFERROR(ROUND((F103/D103)-1,3),0)</f>
        <v>0</v>
      </c>
      <c r="I103" s="200"/>
      <c r="J103" s="108">
        <f t="shared" ref="J103:J105" si="83">ROUND(E103*$I103,2)</f>
        <v>0</v>
      </c>
      <c r="K103" s="108">
        <f t="shared" ref="K103:K105" si="84">ROUND(F103*$I103,2)</f>
        <v>0</v>
      </c>
      <c r="L103" s="108">
        <f t="shared" ref="L103:L105" si="85">ROUND(K103-J103,2)</f>
        <v>0</v>
      </c>
      <c r="M103" s="99"/>
    </row>
    <row r="104" spans="1:13" x14ac:dyDescent="0.25">
      <c r="A104" s="93"/>
      <c r="B104" s="93"/>
      <c r="C104" s="95"/>
      <c r="D104" s="190"/>
      <c r="E104" s="96">
        <f t="shared" si="75"/>
        <v>0</v>
      </c>
      <c r="F104" s="190"/>
      <c r="G104" s="97">
        <f t="shared" si="81"/>
        <v>0</v>
      </c>
      <c r="H104" s="97">
        <f t="shared" si="82"/>
        <v>0</v>
      </c>
      <c r="I104" s="200"/>
      <c r="J104" s="108">
        <f t="shared" si="83"/>
        <v>0</v>
      </c>
      <c r="K104" s="108">
        <f t="shared" si="84"/>
        <v>0</v>
      </c>
      <c r="L104" s="108">
        <f t="shared" si="85"/>
        <v>0</v>
      </c>
      <c r="M104" s="99"/>
    </row>
    <row r="105" spans="1:13" x14ac:dyDescent="0.25">
      <c r="A105" s="93"/>
      <c r="B105" s="93"/>
      <c r="C105" s="95"/>
      <c r="D105" s="190"/>
      <c r="E105" s="96">
        <f t="shared" si="75"/>
        <v>0</v>
      </c>
      <c r="F105" s="190"/>
      <c r="G105" s="97">
        <f t="shared" si="81"/>
        <v>0</v>
      </c>
      <c r="H105" s="97">
        <f t="shared" si="82"/>
        <v>0</v>
      </c>
      <c r="I105" s="200"/>
      <c r="J105" s="108">
        <f t="shared" si="83"/>
        <v>0</v>
      </c>
      <c r="K105" s="108">
        <f t="shared" si="84"/>
        <v>0</v>
      </c>
      <c r="L105" s="108">
        <f t="shared" si="85"/>
        <v>0</v>
      </c>
      <c r="M105" s="99"/>
    </row>
    <row r="106" spans="1:13" s="207" customFormat="1" ht="33" customHeight="1" x14ac:dyDescent="0.25">
      <c r="A106" s="194"/>
      <c r="B106" s="195" t="s">
        <v>30</v>
      </c>
      <c r="C106" s="195" t="s">
        <v>45</v>
      </c>
      <c r="D106" s="208"/>
      <c r="E106" s="208"/>
      <c r="F106" s="208"/>
      <c r="G106" s="208"/>
      <c r="H106" s="208"/>
      <c r="I106" s="209"/>
      <c r="J106" s="210"/>
      <c r="K106" s="210"/>
      <c r="L106" s="211"/>
    </row>
    <row r="107" spans="1:13" x14ac:dyDescent="0.25">
      <c r="A107" s="93" t="s">
        <v>171</v>
      </c>
      <c r="B107" s="93" t="s">
        <v>175</v>
      </c>
      <c r="C107" s="95" t="s">
        <v>45</v>
      </c>
      <c r="D107" s="190">
        <v>100</v>
      </c>
      <c r="E107" s="96">
        <f t="shared" ref="E107:E111" si="86">ROUND(D107*$B$8*$B$9,2)</f>
        <v>127.27</v>
      </c>
      <c r="F107" s="190">
        <v>100</v>
      </c>
      <c r="G107" s="97">
        <f t="shared" ref="G107" si="87">IFERROR(ROUND((F107/E107)-1,3),0)</f>
        <v>-0.214</v>
      </c>
      <c r="H107" s="97">
        <f t="shared" ref="H107" si="88">IFERROR(ROUND((F107/D107)-1,3),0)</f>
        <v>0</v>
      </c>
      <c r="I107" s="200">
        <v>100</v>
      </c>
      <c r="J107" s="108">
        <f t="shared" ref="J107" si="89">ROUND(E107*$I107,2)</f>
        <v>12727</v>
      </c>
      <c r="K107" s="108">
        <f t="shared" ref="K107" si="90">ROUND(F107*$I107,2)</f>
        <v>10000</v>
      </c>
      <c r="L107" s="108">
        <f t="shared" ref="L107" si="91">ROUND(K107-J107,2)</f>
        <v>-2727</v>
      </c>
    </row>
    <row r="108" spans="1:13" s="73" customFormat="1" x14ac:dyDescent="0.25">
      <c r="A108" s="93"/>
      <c r="B108" s="93"/>
      <c r="C108" s="95"/>
      <c r="D108" s="190"/>
      <c r="E108" s="96">
        <f t="shared" si="86"/>
        <v>0</v>
      </c>
      <c r="F108" s="190"/>
      <c r="G108" s="97">
        <f>IFERROR(ROUND((F108/E108)-1,3),0)</f>
        <v>0</v>
      </c>
      <c r="H108" s="97">
        <f>IFERROR(ROUND((F108/D108)-1,3),0)</f>
        <v>0</v>
      </c>
      <c r="I108" s="200"/>
      <c r="J108" s="108">
        <f>ROUND(E108*$I108,2)</f>
        <v>0</v>
      </c>
      <c r="K108" s="108">
        <f>ROUND(F108*$I108,2)</f>
        <v>0</v>
      </c>
      <c r="L108" s="108">
        <f>ROUND(K108-J108,2)</f>
        <v>0</v>
      </c>
    </row>
    <row r="109" spans="1:13" x14ac:dyDescent="0.25">
      <c r="A109" s="93"/>
      <c r="B109" s="93"/>
      <c r="C109" s="95"/>
      <c r="D109" s="190"/>
      <c r="E109" s="96">
        <f t="shared" si="86"/>
        <v>0</v>
      </c>
      <c r="F109" s="190"/>
      <c r="G109" s="97">
        <f t="shared" ref="G109:G111" si="92">IFERROR(ROUND((F109/E109)-1,3),0)</f>
        <v>0</v>
      </c>
      <c r="H109" s="97">
        <f t="shared" ref="H109:H111" si="93">IFERROR(ROUND((F109/D109)-1,3),0)</f>
        <v>0</v>
      </c>
      <c r="I109" s="200"/>
      <c r="J109" s="108">
        <f t="shared" ref="J109:J111" si="94">ROUND(E109*$I109,2)</f>
        <v>0</v>
      </c>
      <c r="K109" s="108">
        <f t="shared" ref="K109:K111" si="95">ROUND(F109*$I109,2)</f>
        <v>0</v>
      </c>
      <c r="L109" s="108">
        <f t="shared" ref="L109:L111" si="96">ROUND(K109-J109,2)</f>
        <v>0</v>
      </c>
      <c r="M109" s="99"/>
    </row>
    <row r="110" spans="1:13" x14ac:dyDescent="0.25">
      <c r="A110" s="93"/>
      <c r="B110" s="93"/>
      <c r="C110" s="95"/>
      <c r="D110" s="190"/>
      <c r="E110" s="96">
        <f t="shared" si="86"/>
        <v>0</v>
      </c>
      <c r="F110" s="190"/>
      <c r="G110" s="97">
        <f t="shared" si="92"/>
        <v>0</v>
      </c>
      <c r="H110" s="97">
        <f t="shared" si="93"/>
        <v>0</v>
      </c>
      <c r="I110" s="200"/>
      <c r="J110" s="108">
        <f t="shared" si="94"/>
        <v>0</v>
      </c>
      <c r="K110" s="108">
        <f t="shared" si="95"/>
        <v>0</v>
      </c>
      <c r="L110" s="108">
        <f t="shared" si="96"/>
        <v>0</v>
      </c>
      <c r="M110" s="99"/>
    </row>
    <row r="111" spans="1:13" x14ac:dyDescent="0.25">
      <c r="A111" s="93"/>
      <c r="B111" s="93"/>
      <c r="C111" s="95"/>
      <c r="D111" s="190"/>
      <c r="E111" s="96">
        <f t="shared" si="86"/>
        <v>0</v>
      </c>
      <c r="F111" s="190"/>
      <c r="G111" s="97">
        <f t="shared" si="92"/>
        <v>0</v>
      </c>
      <c r="H111" s="97">
        <f t="shared" si="93"/>
        <v>0</v>
      </c>
      <c r="I111" s="200"/>
      <c r="J111" s="108">
        <f t="shared" si="94"/>
        <v>0</v>
      </c>
      <c r="K111" s="108">
        <f t="shared" si="95"/>
        <v>0</v>
      </c>
      <c r="L111" s="108">
        <f t="shared" si="96"/>
        <v>0</v>
      </c>
      <c r="M111" s="99"/>
    </row>
    <row r="112" spans="1:13" s="207" customFormat="1" x14ac:dyDescent="0.25">
      <c r="A112" s="194"/>
      <c r="B112" s="195" t="s">
        <v>34</v>
      </c>
      <c r="C112" s="195" t="s">
        <v>35</v>
      </c>
      <c r="D112" s="208"/>
      <c r="E112" s="208"/>
      <c r="F112" s="208"/>
      <c r="G112" s="208"/>
      <c r="H112" s="208"/>
      <c r="I112" s="209"/>
      <c r="J112" s="210"/>
      <c r="K112" s="210"/>
      <c r="L112" s="211"/>
    </row>
    <row r="113" spans="1:13" x14ac:dyDescent="0.25">
      <c r="A113" s="93" t="s">
        <v>171</v>
      </c>
      <c r="B113" s="93" t="s">
        <v>176</v>
      </c>
      <c r="C113" s="95" t="s">
        <v>35</v>
      </c>
      <c r="D113" s="190">
        <v>100</v>
      </c>
      <c r="E113" s="96">
        <f t="shared" ref="E113:E117" si="97">ROUND(D113*$B$8*$B$9,2)</f>
        <v>127.27</v>
      </c>
      <c r="F113" s="190">
        <v>100</v>
      </c>
      <c r="G113" s="97">
        <f t="shared" ref="G113" si="98">IFERROR(ROUND((F113/E113)-1,3),0)</f>
        <v>-0.214</v>
      </c>
      <c r="H113" s="97">
        <f t="shared" ref="H113" si="99">IFERROR(ROUND((F113/D113)-1,3),0)</f>
        <v>0</v>
      </c>
      <c r="I113" s="200">
        <v>100</v>
      </c>
      <c r="J113" s="108">
        <f t="shared" ref="J113" si="100">ROUND(E113*$I113,2)</f>
        <v>12727</v>
      </c>
      <c r="K113" s="108">
        <f t="shared" ref="K113" si="101">ROUND(F113*$I113,2)</f>
        <v>10000</v>
      </c>
      <c r="L113" s="108">
        <f t="shared" ref="L113" si="102">ROUND(K113-J113,2)</f>
        <v>-2727</v>
      </c>
    </row>
    <row r="114" spans="1:13" s="73" customFormat="1" x14ac:dyDescent="0.25">
      <c r="A114" s="93"/>
      <c r="B114" s="93"/>
      <c r="C114" s="95"/>
      <c r="D114" s="190"/>
      <c r="E114" s="96">
        <f t="shared" si="97"/>
        <v>0</v>
      </c>
      <c r="F114" s="190"/>
      <c r="G114" s="97">
        <f>IFERROR(ROUND((F114/E114)-1,3),0)</f>
        <v>0</v>
      </c>
      <c r="H114" s="97">
        <f>IFERROR(ROUND((F114/D114)-1,3),0)</f>
        <v>0</v>
      </c>
      <c r="I114" s="200"/>
      <c r="J114" s="108">
        <f>ROUND(E114*$I114,2)</f>
        <v>0</v>
      </c>
      <c r="K114" s="108">
        <f>ROUND(F114*$I114,2)</f>
        <v>0</v>
      </c>
      <c r="L114" s="108">
        <f>ROUND(K114-J114,2)</f>
        <v>0</v>
      </c>
    </row>
    <row r="115" spans="1:13" x14ac:dyDescent="0.25">
      <c r="A115" s="93"/>
      <c r="B115" s="93"/>
      <c r="C115" s="95"/>
      <c r="D115" s="190"/>
      <c r="E115" s="96">
        <f t="shared" si="97"/>
        <v>0</v>
      </c>
      <c r="F115" s="190"/>
      <c r="G115" s="97">
        <f t="shared" ref="G115:G117" si="103">IFERROR(ROUND((F115/E115)-1,3),0)</f>
        <v>0</v>
      </c>
      <c r="H115" s="97">
        <f t="shared" ref="H115:H117" si="104">IFERROR(ROUND((F115/D115)-1,3),0)</f>
        <v>0</v>
      </c>
      <c r="I115" s="200"/>
      <c r="J115" s="108">
        <f t="shared" ref="J115:J117" si="105">ROUND(E115*$I115,2)</f>
        <v>0</v>
      </c>
      <c r="K115" s="108">
        <f t="shared" ref="K115:K117" si="106">ROUND(F115*$I115,2)</f>
        <v>0</v>
      </c>
      <c r="L115" s="108">
        <f t="shared" ref="L115:L117" si="107">ROUND(K115-J115,2)</f>
        <v>0</v>
      </c>
      <c r="M115" s="99"/>
    </row>
    <row r="116" spans="1:13" x14ac:dyDescent="0.25">
      <c r="A116" s="93"/>
      <c r="B116" s="93"/>
      <c r="C116" s="95"/>
      <c r="D116" s="190"/>
      <c r="E116" s="96">
        <f t="shared" si="97"/>
        <v>0</v>
      </c>
      <c r="F116" s="190"/>
      <c r="G116" s="97">
        <f t="shared" si="103"/>
        <v>0</v>
      </c>
      <c r="H116" s="97">
        <f t="shared" si="104"/>
        <v>0</v>
      </c>
      <c r="I116" s="200"/>
      <c r="J116" s="108">
        <f t="shared" si="105"/>
        <v>0</v>
      </c>
      <c r="K116" s="108">
        <f t="shared" si="106"/>
        <v>0</v>
      </c>
      <c r="L116" s="108">
        <f t="shared" si="107"/>
        <v>0</v>
      </c>
      <c r="M116" s="99"/>
    </row>
    <row r="117" spans="1:13" x14ac:dyDescent="0.25">
      <c r="A117" s="93"/>
      <c r="B117" s="93"/>
      <c r="C117" s="95"/>
      <c r="D117" s="190"/>
      <c r="E117" s="96">
        <f t="shared" si="97"/>
        <v>0</v>
      </c>
      <c r="F117" s="190"/>
      <c r="G117" s="97">
        <f t="shared" si="103"/>
        <v>0</v>
      </c>
      <c r="H117" s="97">
        <f t="shared" si="104"/>
        <v>0</v>
      </c>
      <c r="I117" s="200"/>
      <c r="J117" s="108">
        <f t="shared" si="105"/>
        <v>0</v>
      </c>
      <c r="K117" s="108">
        <f t="shared" si="106"/>
        <v>0</v>
      </c>
      <c r="L117" s="108">
        <f t="shared" si="107"/>
        <v>0</v>
      </c>
      <c r="M117" s="99"/>
    </row>
    <row r="118" spans="1:13" s="207" customFormat="1" ht="30.75" customHeight="1" x14ac:dyDescent="0.25">
      <c r="A118" s="194"/>
      <c r="B118" s="195" t="s">
        <v>36</v>
      </c>
      <c r="C118" s="195" t="s">
        <v>37</v>
      </c>
      <c r="D118" s="208"/>
      <c r="E118" s="208"/>
      <c r="F118" s="208"/>
      <c r="G118" s="208"/>
      <c r="H118" s="208"/>
      <c r="I118" s="209"/>
      <c r="J118" s="210"/>
      <c r="K118" s="210"/>
      <c r="L118" s="211"/>
    </row>
    <row r="119" spans="1:13" x14ac:dyDescent="0.25">
      <c r="A119" s="93" t="s">
        <v>171</v>
      </c>
      <c r="B119" s="93" t="s">
        <v>183</v>
      </c>
      <c r="C119" s="95" t="s">
        <v>37</v>
      </c>
      <c r="D119" s="190">
        <v>100</v>
      </c>
      <c r="E119" s="96">
        <f t="shared" ref="E119:E123" si="108">ROUND(D119*$B$8*$B$9,2)</f>
        <v>127.27</v>
      </c>
      <c r="F119" s="190">
        <v>100</v>
      </c>
      <c r="G119" s="97">
        <f t="shared" ref="G119" si="109">IFERROR(ROUND((F119/E119)-1,3),0)</f>
        <v>-0.214</v>
      </c>
      <c r="H119" s="97">
        <f t="shared" ref="H119" si="110">IFERROR(ROUND((F119/D119)-1,3),0)</f>
        <v>0</v>
      </c>
      <c r="I119" s="200">
        <v>100</v>
      </c>
      <c r="J119" s="108">
        <f t="shared" ref="J119" si="111">ROUND(E119*$I119,2)</f>
        <v>12727</v>
      </c>
      <c r="K119" s="108">
        <f t="shared" ref="K119" si="112">ROUND(F119*$I119,2)</f>
        <v>10000</v>
      </c>
      <c r="L119" s="108">
        <f t="shared" ref="L119" si="113">ROUND(K119-J119,2)</f>
        <v>-2727</v>
      </c>
    </row>
    <row r="120" spans="1:13" s="73" customFormat="1" x14ac:dyDescent="0.25">
      <c r="A120" s="93"/>
      <c r="B120" s="93"/>
      <c r="C120" s="95"/>
      <c r="D120" s="190"/>
      <c r="E120" s="96">
        <f t="shared" si="108"/>
        <v>0</v>
      </c>
      <c r="F120" s="190"/>
      <c r="G120" s="97">
        <f>IFERROR(ROUND((F120/E120)-1,3),0)</f>
        <v>0</v>
      </c>
      <c r="H120" s="97">
        <f>IFERROR(ROUND((F120/D120)-1,3),0)</f>
        <v>0</v>
      </c>
      <c r="I120" s="200"/>
      <c r="J120" s="108">
        <f>ROUND(E120*$I120,2)</f>
        <v>0</v>
      </c>
      <c r="K120" s="108">
        <f>ROUND(F120*$I120,2)</f>
        <v>0</v>
      </c>
      <c r="L120" s="108">
        <f>ROUND(K120-J120,2)</f>
        <v>0</v>
      </c>
    </row>
    <row r="121" spans="1:13" x14ac:dyDescent="0.25">
      <c r="A121" s="93"/>
      <c r="B121" s="93"/>
      <c r="C121" s="95"/>
      <c r="D121" s="190"/>
      <c r="E121" s="96">
        <f t="shared" si="108"/>
        <v>0</v>
      </c>
      <c r="F121" s="190"/>
      <c r="G121" s="97">
        <f t="shared" ref="G121:G123" si="114">IFERROR(ROUND((F121/E121)-1,3),0)</f>
        <v>0</v>
      </c>
      <c r="H121" s="97">
        <f t="shared" ref="H121:H123" si="115">IFERROR(ROUND((F121/D121)-1,3),0)</f>
        <v>0</v>
      </c>
      <c r="I121" s="200"/>
      <c r="J121" s="108">
        <f t="shared" ref="J121:J123" si="116">ROUND(E121*$I121,2)</f>
        <v>0</v>
      </c>
      <c r="K121" s="108">
        <f t="shared" ref="K121:K123" si="117">ROUND(F121*$I121,2)</f>
        <v>0</v>
      </c>
      <c r="L121" s="108">
        <f t="shared" ref="L121:L123" si="118">ROUND(K121-J121,2)</f>
        <v>0</v>
      </c>
      <c r="M121" s="99"/>
    </row>
    <row r="122" spans="1:13" x14ac:dyDescent="0.25">
      <c r="A122" s="93"/>
      <c r="B122" s="93"/>
      <c r="C122" s="95"/>
      <c r="D122" s="190"/>
      <c r="E122" s="96">
        <f t="shared" si="108"/>
        <v>0</v>
      </c>
      <c r="F122" s="190"/>
      <c r="G122" s="97">
        <f t="shared" si="114"/>
        <v>0</v>
      </c>
      <c r="H122" s="97">
        <f t="shared" si="115"/>
        <v>0</v>
      </c>
      <c r="I122" s="200"/>
      <c r="J122" s="108">
        <f t="shared" si="116"/>
        <v>0</v>
      </c>
      <c r="K122" s="108">
        <f t="shared" si="117"/>
        <v>0</v>
      </c>
      <c r="L122" s="108">
        <f t="shared" si="118"/>
        <v>0</v>
      </c>
      <c r="M122" s="99"/>
    </row>
    <row r="123" spans="1:13" x14ac:dyDescent="0.25">
      <c r="A123" s="93"/>
      <c r="B123" s="93"/>
      <c r="C123" s="95"/>
      <c r="D123" s="190"/>
      <c r="E123" s="96">
        <f t="shared" si="108"/>
        <v>0</v>
      </c>
      <c r="F123" s="190"/>
      <c r="G123" s="97">
        <f t="shared" si="114"/>
        <v>0</v>
      </c>
      <c r="H123" s="97">
        <f t="shared" si="115"/>
        <v>0</v>
      </c>
      <c r="I123" s="200"/>
      <c r="J123" s="108">
        <f t="shared" si="116"/>
        <v>0</v>
      </c>
      <c r="K123" s="108">
        <f t="shared" si="117"/>
        <v>0</v>
      </c>
      <c r="L123" s="108">
        <f t="shared" si="118"/>
        <v>0</v>
      </c>
      <c r="M123" s="99"/>
    </row>
    <row r="124" spans="1:13" s="207" customFormat="1" ht="33" customHeight="1" x14ac:dyDescent="0.25">
      <c r="A124" s="194"/>
      <c r="B124" s="195" t="s">
        <v>38</v>
      </c>
      <c r="C124" s="195" t="s">
        <v>39</v>
      </c>
      <c r="D124" s="208"/>
      <c r="E124" s="208"/>
      <c r="F124" s="208"/>
      <c r="G124" s="208"/>
      <c r="H124" s="208"/>
      <c r="I124" s="209"/>
      <c r="J124" s="210"/>
      <c r="K124" s="210"/>
      <c r="L124" s="211"/>
    </row>
    <row r="125" spans="1:13" x14ac:dyDescent="0.25">
      <c r="A125" s="93" t="s">
        <v>171</v>
      </c>
      <c r="B125" s="93" t="s">
        <v>184</v>
      </c>
      <c r="C125" s="95" t="s">
        <v>39</v>
      </c>
      <c r="D125" s="190">
        <v>100</v>
      </c>
      <c r="E125" s="96">
        <f t="shared" ref="E125:E129" si="119">ROUND(D125*$B$8*$B$9,2)</f>
        <v>127.27</v>
      </c>
      <c r="F125" s="190">
        <v>100</v>
      </c>
      <c r="G125" s="97">
        <f t="shared" ref="G125" si="120">IFERROR((F125/E125)-1,0)</f>
        <v>-0.21426887719022547</v>
      </c>
      <c r="H125" s="97">
        <f t="shared" ref="H125" si="121">IFERROR((F125/D125)-1,0)</f>
        <v>0</v>
      </c>
      <c r="I125" s="200">
        <v>100</v>
      </c>
      <c r="J125" s="108">
        <f t="shared" ref="J125" si="122">ROUND(E125*$I125,2)</f>
        <v>12727</v>
      </c>
      <c r="K125" s="108">
        <f t="shared" ref="K125" si="123">ROUND(F125*$I125,2)</f>
        <v>10000</v>
      </c>
      <c r="L125" s="108">
        <f t="shared" ref="L125" si="124">ROUND(K125-J125,2)</f>
        <v>-2727</v>
      </c>
    </row>
    <row r="126" spans="1:13" s="73" customFormat="1" x14ac:dyDescent="0.25">
      <c r="A126" s="93"/>
      <c r="B126" s="93"/>
      <c r="C126" s="95"/>
      <c r="D126" s="190"/>
      <c r="E126" s="96">
        <f t="shared" si="119"/>
        <v>0</v>
      </c>
      <c r="F126" s="190"/>
      <c r="G126" s="97">
        <f>IFERROR(ROUND((F126/E126)-1,3),0)</f>
        <v>0</v>
      </c>
      <c r="H126" s="97">
        <f>IFERROR(ROUND((F126/D126)-1,3),0)</f>
        <v>0</v>
      </c>
      <c r="I126" s="200"/>
      <c r="J126" s="108">
        <f>ROUND(E126*$I126,2)</f>
        <v>0</v>
      </c>
      <c r="K126" s="108">
        <f>ROUND(F126*$I126,2)</f>
        <v>0</v>
      </c>
      <c r="L126" s="108">
        <f>ROUND(K126-J126,2)</f>
        <v>0</v>
      </c>
    </row>
    <row r="127" spans="1:13" x14ac:dyDescent="0.25">
      <c r="A127" s="93"/>
      <c r="B127" s="93"/>
      <c r="C127" s="95"/>
      <c r="D127" s="190"/>
      <c r="E127" s="96">
        <f t="shared" si="119"/>
        <v>0</v>
      </c>
      <c r="F127" s="190"/>
      <c r="G127" s="97">
        <f t="shared" ref="G127:G129" si="125">IFERROR(ROUND((F127/E127)-1,3),0)</f>
        <v>0</v>
      </c>
      <c r="H127" s="97">
        <f t="shared" ref="H127:H129" si="126">IFERROR(ROUND((F127/D127)-1,3),0)</f>
        <v>0</v>
      </c>
      <c r="I127" s="200"/>
      <c r="J127" s="108">
        <f t="shared" ref="J127:J129" si="127">ROUND(E127*$I127,2)</f>
        <v>0</v>
      </c>
      <c r="K127" s="108">
        <f t="shared" ref="K127:K129" si="128">ROUND(F127*$I127,2)</f>
        <v>0</v>
      </c>
      <c r="L127" s="108">
        <f t="shared" ref="L127:L129" si="129">ROUND(K127-J127,2)</f>
        <v>0</v>
      </c>
      <c r="M127" s="99"/>
    </row>
    <row r="128" spans="1:13" x14ac:dyDescent="0.25">
      <c r="A128" s="93"/>
      <c r="B128" s="93"/>
      <c r="C128" s="95"/>
      <c r="D128" s="190"/>
      <c r="E128" s="96">
        <f t="shared" si="119"/>
        <v>0</v>
      </c>
      <c r="F128" s="190"/>
      <c r="G128" s="97">
        <f t="shared" si="125"/>
        <v>0</v>
      </c>
      <c r="H128" s="97">
        <f t="shared" si="126"/>
        <v>0</v>
      </c>
      <c r="I128" s="200"/>
      <c r="J128" s="108">
        <f t="shared" si="127"/>
        <v>0</v>
      </c>
      <c r="K128" s="108">
        <f t="shared" si="128"/>
        <v>0</v>
      </c>
      <c r="L128" s="108">
        <f t="shared" si="129"/>
        <v>0</v>
      </c>
      <c r="M128" s="99"/>
    </row>
    <row r="129" spans="1:13" x14ac:dyDescent="0.25">
      <c r="A129" s="93"/>
      <c r="B129" s="93"/>
      <c r="C129" s="95"/>
      <c r="D129" s="190"/>
      <c r="E129" s="96">
        <f t="shared" si="119"/>
        <v>0</v>
      </c>
      <c r="F129" s="190"/>
      <c r="G129" s="97">
        <f t="shared" si="125"/>
        <v>0</v>
      </c>
      <c r="H129" s="97">
        <f t="shared" si="126"/>
        <v>0</v>
      </c>
      <c r="I129" s="200"/>
      <c r="J129" s="108">
        <f t="shared" si="127"/>
        <v>0</v>
      </c>
      <c r="K129" s="108">
        <f t="shared" si="128"/>
        <v>0</v>
      </c>
      <c r="L129" s="108">
        <f t="shared" si="129"/>
        <v>0</v>
      </c>
      <c r="M129" s="99"/>
    </row>
    <row r="130" spans="1:13" s="207" customFormat="1" x14ac:dyDescent="0.25">
      <c r="A130" s="194"/>
      <c r="B130" s="195" t="s">
        <v>41</v>
      </c>
      <c r="C130" s="195" t="s">
        <v>42</v>
      </c>
      <c r="D130" s="208"/>
      <c r="E130" s="208"/>
      <c r="F130" s="208"/>
      <c r="G130" s="208"/>
      <c r="H130" s="208"/>
      <c r="I130" s="209"/>
      <c r="J130" s="210"/>
      <c r="K130" s="210"/>
      <c r="L130" s="211"/>
    </row>
    <row r="131" spans="1:13" x14ac:dyDescent="0.25">
      <c r="A131" s="93" t="s">
        <v>171</v>
      </c>
      <c r="B131" s="93" t="s">
        <v>179</v>
      </c>
      <c r="C131" s="95" t="s">
        <v>42</v>
      </c>
      <c r="D131" s="190">
        <v>100</v>
      </c>
      <c r="E131" s="96">
        <f t="shared" ref="E131:E135" si="130">ROUND(D131*$B$8*$B$9,2)</f>
        <v>127.27</v>
      </c>
      <c r="F131" s="190">
        <v>100</v>
      </c>
      <c r="G131" s="97">
        <f t="shared" ref="G131" si="131">IFERROR((F131/E131)-1,0)</f>
        <v>-0.21426887719022547</v>
      </c>
      <c r="H131" s="97">
        <f t="shared" ref="H131" si="132">IFERROR((F131/D131)-1,0)</f>
        <v>0</v>
      </c>
      <c r="I131" s="200">
        <v>100</v>
      </c>
      <c r="J131" s="108">
        <f t="shared" ref="J131" si="133">ROUND(E131*$I131,2)</f>
        <v>12727</v>
      </c>
      <c r="K131" s="108">
        <f t="shared" ref="K131" si="134">ROUND(F131*$I131,2)</f>
        <v>10000</v>
      </c>
      <c r="L131" s="108">
        <f t="shared" ref="L131" si="135">ROUND(K131-J131,2)</f>
        <v>-2727</v>
      </c>
    </row>
    <row r="132" spans="1:13" s="73" customFormat="1" x14ac:dyDescent="0.25">
      <c r="A132" s="93"/>
      <c r="B132" s="93"/>
      <c r="C132" s="95"/>
      <c r="D132" s="190"/>
      <c r="E132" s="96">
        <f t="shared" si="130"/>
        <v>0</v>
      </c>
      <c r="F132" s="190"/>
      <c r="G132" s="97">
        <f>IFERROR(ROUND((F132/E132)-1,3),0)</f>
        <v>0</v>
      </c>
      <c r="H132" s="97">
        <f>IFERROR(ROUND((F132/D132)-1,3),0)</f>
        <v>0</v>
      </c>
      <c r="I132" s="200"/>
      <c r="J132" s="108">
        <f>ROUND(E132*$I132,2)</f>
        <v>0</v>
      </c>
      <c r="K132" s="108">
        <f>ROUND(F132*$I132,2)</f>
        <v>0</v>
      </c>
      <c r="L132" s="108">
        <f>ROUND(K132-J132,2)</f>
        <v>0</v>
      </c>
    </row>
    <row r="133" spans="1:13" x14ac:dyDescent="0.25">
      <c r="A133" s="93"/>
      <c r="B133" s="93"/>
      <c r="C133" s="95"/>
      <c r="D133" s="190"/>
      <c r="E133" s="96">
        <f t="shared" si="130"/>
        <v>0</v>
      </c>
      <c r="F133" s="190"/>
      <c r="G133" s="97">
        <f t="shared" ref="G133:G135" si="136">IFERROR(ROUND((F133/E133)-1,3),0)</f>
        <v>0</v>
      </c>
      <c r="H133" s="97">
        <f t="shared" ref="H133:H135" si="137">IFERROR(ROUND((F133/D133)-1,3),0)</f>
        <v>0</v>
      </c>
      <c r="I133" s="200"/>
      <c r="J133" s="108">
        <f t="shared" ref="J133:J135" si="138">ROUND(E133*$I133,2)</f>
        <v>0</v>
      </c>
      <c r="K133" s="108">
        <f t="shared" ref="K133:K135" si="139">ROUND(F133*$I133,2)</f>
        <v>0</v>
      </c>
      <c r="L133" s="108">
        <f t="shared" ref="L133:L135" si="140">ROUND(K133-J133,2)</f>
        <v>0</v>
      </c>
      <c r="M133" s="99"/>
    </row>
    <row r="134" spans="1:13" x14ac:dyDescent="0.25">
      <c r="A134" s="93"/>
      <c r="B134" s="93"/>
      <c r="C134" s="95"/>
      <c r="D134" s="190"/>
      <c r="E134" s="96">
        <f t="shared" si="130"/>
        <v>0</v>
      </c>
      <c r="F134" s="190"/>
      <c r="G134" s="97">
        <f t="shared" si="136"/>
        <v>0</v>
      </c>
      <c r="H134" s="97">
        <f t="shared" si="137"/>
        <v>0</v>
      </c>
      <c r="I134" s="200"/>
      <c r="J134" s="108">
        <f t="shared" si="138"/>
        <v>0</v>
      </c>
      <c r="K134" s="108">
        <f t="shared" si="139"/>
        <v>0</v>
      </c>
      <c r="L134" s="108">
        <f t="shared" si="140"/>
        <v>0</v>
      </c>
      <c r="M134" s="99"/>
    </row>
    <row r="135" spans="1:13" x14ac:dyDescent="0.25">
      <c r="A135" s="93"/>
      <c r="B135" s="93"/>
      <c r="C135" s="95"/>
      <c r="D135" s="190"/>
      <c r="E135" s="96">
        <f t="shared" si="130"/>
        <v>0</v>
      </c>
      <c r="F135" s="190"/>
      <c r="G135" s="97">
        <f t="shared" si="136"/>
        <v>0</v>
      </c>
      <c r="H135" s="97">
        <f t="shared" si="137"/>
        <v>0</v>
      </c>
      <c r="I135" s="200"/>
      <c r="J135" s="108">
        <f t="shared" si="138"/>
        <v>0</v>
      </c>
      <c r="K135" s="108">
        <f t="shared" si="139"/>
        <v>0</v>
      </c>
      <c r="L135" s="108">
        <f t="shared" si="140"/>
        <v>0</v>
      </c>
      <c r="M135" s="99"/>
    </row>
    <row r="136" spans="1:13" s="207" customFormat="1" ht="30" x14ac:dyDescent="0.25">
      <c r="A136" s="194"/>
      <c r="B136" s="195" t="s">
        <v>43</v>
      </c>
      <c r="C136" s="195" t="s">
        <v>44</v>
      </c>
      <c r="D136" s="208"/>
      <c r="E136" s="208"/>
      <c r="F136" s="208"/>
      <c r="G136" s="208"/>
      <c r="H136" s="208"/>
      <c r="I136" s="209"/>
      <c r="J136" s="210"/>
      <c r="K136" s="210"/>
      <c r="L136" s="211"/>
    </row>
    <row r="137" spans="1:13" ht="30" x14ac:dyDescent="0.25">
      <c r="A137" s="93" t="s">
        <v>171</v>
      </c>
      <c r="B137" s="94" t="s">
        <v>180</v>
      </c>
      <c r="C137" s="95" t="s">
        <v>44</v>
      </c>
      <c r="D137" s="96">
        <v>100</v>
      </c>
      <c r="E137" s="96">
        <f t="shared" ref="E137:E141" si="141">ROUND(D137*$B$8*$B$9,2)</f>
        <v>127.27</v>
      </c>
      <c r="F137" s="96">
        <v>100</v>
      </c>
      <c r="G137" s="97">
        <f t="shared" ref="G137" si="142">IFERROR((F137/E137)-1,0)</f>
        <v>-0.21426887719022547</v>
      </c>
      <c r="H137" s="97">
        <f t="shared" ref="H137" si="143">IFERROR((F137/D137)-1,0)</f>
        <v>0</v>
      </c>
      <c r="I137" s="200">
        <v>100</v>
      </c>
      <c r="J137" s="108">
        <f t="shared" ref="J137" si="144">ROUND(E137*$I137,2)</f>
        <v>12727</v>
      </c>
      <c r="K137" s="108">
        <f t="shared" ref="K137" si="145">ROUND(F137*$I137,2)</f>
        <v>10000</v>
      </c>
      <c r="L137" s="108">
        <f t="shared" ref="L137" si="146">ROUND(K137-J137,2)</f>
        <v>-2727</v>
      </c>
    </row>
    <row r="138" spans="1:13" s="73" customFormat="1" x14ac:dyDescent="0.25">
      <c r="A138" s="93"/>
      <c r="B138" s="93"/>
      <c r="C138" s="95"/>
      <c r="D138" s="190"/>
      <c r="E138" s="96">
        <f t="shared" si="141"/>
        <v>0</v>
      </c>
      <c r="F138" s="190"/>
      <c r="G138" s="97">
        <f>IFERROR(ROUND((F138/E138)-1,3),0)</f>
        <v>0</v>
      </c>
      <c r="H138" s="97">
        <f>IFERROR(ROUND((F138/D138)-1,3),0)</f>
        <v>0</v>
      </c>
      <c r="I138" s="200"/>
      <c r="J138" s="108">
        <f>ROUND(E138*$I138,2)</f>
        <v>0</v>
      </c>
      <c r="K138" s="108">
        <f>ROUND(F138*$I138,2)</f>
        <v>0</v>
      </c>
      <c r="L138" s="108">
        <f>ROUND(K138-J138,2)</f>
        <v>0</v>
      </c>
    </row>
    <row r="139" spans="1:13" x14ac:dyDescent="0.25">
      <c r="A139" s="93"/>
      <c r="B139" s="93"/>
      <c r="C139" s="95"/>
      <c r="D139" s="190"/>
      <c r="E139" s="96">
        <f t="shared" si="141"/>
        <v>0</v>
      </c>
      <c r="F139" s="190"/>
      <c r="G139" s="97">
        <f t="shared" ref="G139:G141" si="147">IFERROR(ROUND((F139/E139)-1,3),0)</f>
        <v>0</v>
      </c>
      <c r="H139" s="97">
        <f t="shared" ref="H139:H141" si="148">IFERROR(ROUND((F139/D139)-1,3),0)</f>
        <v>0</v>
      </c>
      <c r="I139" s="200"/>
      <c r="J139" s="108">
        <f t="shared" ref="J139:J141" si="149">ROUND(E139*$I139,2)</f>
        <v>0</v>
      </c>
      <c r="K139" s="108">
        <f t="shared" ref="K139:K141" si="150">ROUND(F139*$I139,2)</f>
        <v>0</v>
      </c>
      <c r="L139" s="108">
        <f t="shared" ref="L139:L141" si="151">ROUND(K139-J139,2)</f>
        <v>0</v>
      </c>
      <c r="M139" s="99"/>
    </row>
    <row r="140" spans="1:13" x14ac:dyDescent="0.25">
      <c r="A140" s="93"/>
      <c r="B140" s="93"/>
      <c r="C140" s="95"/>
      <c r="D140" s="190"/>
      <c r="E140" s="96">
        <f t="shared" si="141"/>
        <v>0</v>
      </c>
      <c r="F140" s="190"/>
      <c r="G140" s="97">
        <f t="shared" si="147"/>
        <v>0</v>
      </c>
      <c r="H140" s="97">
        <f t="shared" si="148"/>
        <v>0</v>
      </c>
      <c r="I140" s="200"/>
      <c r="J140" s="108">
        <f t="shared" si="149"/>
        <v>0</v>
      </c>
      <c r="K140" s="108">
        <f t="shared" si="150"/>
        <v>0</v>
      </c>
      <c r="L140" s="108">
        <f t="shared" si="151"/>
        <v>0</v>
      </c>
      <c r="M140" s="99"/>
    </row>
    <row r="141" spans="1:13" x14ac:dyDescent="0.25">
      <c r="A141" s="93"/>
      <c r="B141" s="93"/>
      <c r="C141" s="95"/>
      <c r="D141" s="190"/>
      <c r="E141" s="96">
        <f t="shared" si="141"/>
        <v>0</v>
      </c>
      <c r="F141" s="190"/>
      <c r="G141" s="97">
        <f t="shared" si="147"/>
        <v>0</v>
      </c>
      <c r="H141" s="97">
        <f t="shared" si="148"/>
        <v>0</v>
      </c>
      <c r="I141" s="200"/>
      <c r="J141" s="108">
        <f t="shared" si="149"/>
        <v>0</v>
      </c>
      <c r="K141" s="108">
        <f t="shared" si="150"/>
        <v>0</v>
      </c>
      <c r="L141" s="108">
        <f t="shared" si="151"/>
        <v>0</v>
      </c>
      <c r="M141" s="99"/>
    </row>
    <row r="142" spans="1:13" s="207" customFormat="1" ht="30" x14ac:dyDescent="0.25">
      <c r="A142" s="194"/>
      <c r="B142" s="195" t="s">
        <v>52</v>
      </c>
      <c r="C142" s="195" t="s">
        <v>53</v>
      </c>
      <c r="D142" s="208"/>
      <c r="E142" s="208"/>
      <c r="F142" s="208"/>
      <c r="G142" s="208"/>
      <c r="H142" s="208"/>
      <c r="I142" s="209"/>
      <c r="J142" s="210"/>
      <c r="K142" s="210"/>
      <c r="L142" s="211"/>
    </row>
    <row r="143" spans="1:13" x14ac:dyDescent="0.25">
      <c r="A143" s="93" t="s">
        <v>171</v>
      </c>
      <c r="B143" s="93" t="s">
        <v>181</v>
      </c>
      <c r="C143" s="95" t="s">
        <v>53</v>
      </c>
      <c r="D143" s="190">
        <v>100</v>
      </c>
      <c r="E143" s="96">
        <f t="shared" ref="E143:E147" si="152">ROUND(D143*$B$8*$B$9,2)</f>
        <v>127.27</v>
      </c>
      <c r="F143" s="190">
        <v>100</v>
      </c>
      <c r="G143" s="97">
        <f t="shared" ref="G143" si="153">IFERROR((F143/E143)-1,0)</f>
        <v>-0.21426887719022547</v>
      </c>
      <c r="H143" s="97">
        <f t="shared" ref="H143" si="154">IFERROR((F143/D143)-1,0)</f>
        <v>0</v>
      </c>
      <c r="I143" s="200">
        <v>100</v>
      </c>
      <c r="J143" s="108">
        <f t="shared" ref="J143" si="155">ROUND(E143*$I143,2)</f>
        <v>12727</v>
      </c>
      <c r="K143" s="108">
        <f t="shared" ref="K143" si="156">ROUND(F143*$I143,2)</f>
        <v>10000</v>
      </c>
      <c r="L143" s="108">
        <f t="shared" ref="L143" si="157">ROUND(K143-J143,2)</f>
        <v>-2727</v>
      </c>
    </row>
    <row r="144" spans="1:13" s="73" customFormat="1" x14ac:dyDescent="0.25">
      <c r="A144" s="93"/>
      <c r="B144" s="93"/>
      <c r="C144" s="95"/>
      <c r="D144" s="190"/>
      <c r="E144" s="96">
        <f t="shared" si="152"/>
        <v>0</v>
      </c>
      <c r="F144" s="190"/>
      <c r="G144" s="97">
        <f>IFERROR(ROUND((F144/E144)-1,3),0)</f>
        <v>0</v>
      </c>
      <c r="H144" s="97">
        <f>IFERROR(ROUND((F144/D144)-1,3),0)</f>
        <v>0</v>
      </c>
      <c r="I144" s="200"/>
      <c r="J144" s="108">
        <f>ROUND(E144*$I144,2)</f>
        <v>0</v>
      </c>
      <c r="K144" s="108">
        <f>ROUND(F144*$I144,2)</f>
        <v>0</v>
      </c>
      <c r="L144" s="108">
        <f>ROUND(K144-J144,2)</f>
        <v>0</v>
      </c>
    </row>
    <row r="145" spans="1:13" x14ac:dyDescent="0.25">
      <c r="A145" s="93"/>
      <c r="B145" s="93"/>
      <c r="C145" s="95"/>
      <c r="D145" s="190"/>
      <c r="E145" s="96">
        <f t="shared" si="152"/>
        <v>0</v>
      </c>
      <c r="F145" s="190"/>
      <c r="G145" s="97">
        <f t="shared" ref="G145:G147" si="158">IFERROR(ROUND((F145/E145)-1,3),0)</f>
        <v>0</v>
      </c>
      <c r="H145" s="97">
        <f t="shared" ref="H145:H147" si="159">IFERROR(ROUND((F145/D145)-1,3),0)</f>
        <v>0</v>
      </c>
      <c r="I145" s="200"/>
      <c r="J145" s="108">
        <f t="shared" ref="J145:J147" si="160">ROUND(E145*$I145,2)</f>
        <v>0</v>
      </c>
      <c r="K145" s="108">
        <f t="shared" ref="K145:K147" si="161">ROUND(F145*$I145,2)</f>
        <v>0</v>
      </c>
      <c r="L145" s="108">
        <f t="shared" ref="L145:L147" si="162">ROUND(K145-J145,2)</f>
        <v>0</v>
      </c>
      <c r="M145" s="99"/>
    </row>
    <row r="146" spans="1:13" x14ac:dyDescent="0.25">
      <c r="A146" s="93"/>
      <c r="B146" s="93"/>
      <c r="C146" s="95"/>
      <c r="D146" s="190"/>
      <c r="E146" s="96">
        <f t="shared" si="152"/>
        <v>0</v>
      </c>
      <c r="F146" s="190"/>
      <c r="G146" s="97">
        <f t="shared" si="158"/>
        <v>0</v>
      </c>
      <c r="H146" s="97">
        <f t="shared" si="159"/>
        <v>0</v>
      </c>
      <c r="I146" s="200"/>
      <c r="J146" s="108">
        <f t="shared" si="160"/>
        <v>0</v>
      </c>
      <c r="K146" s="108">
        <f t="shared" si="161"/>
        <v>0</v>
      </c>
      <c r="L146" s="108">
        <f t="shared" si="162"/>
        <v>0</v>
      </c>
      <c r="M146" s="99"/>
    </row>
    <row r="147" spans="1:13" x14ac:dyDescent="0.25">
      <c r="A147" s="93"/>
      <c r="B147" s="93"/>
      <c r="C147" s="95"/>
      <c r="D147" s="190"/>
      <c r="E147" s="96">
        <f t="shared" si="152"/>
        <v>0</v>
      </c>
      <c r="F147" s="190"/>
      <c r="G147" s="97">
        <f t="shared" si="158"/>
        <v>0</v>
      </c>
      <c r="H147" s="97">
        <f t="shared" si="159"/>
        <v>0</v>
      </c>
      <c r="I147" s="200"/>
      <c r="J147" s="108">
        <f t="shared" si="160"/>
        <v>0</v>
      </c>
      <c r="K147" s="108">
        <f t="shared" si="161"/>
        <v>0</v>
      </c>
      <c r="L147" s="108">
        <f t="shared" si="162"/>
        <v>0</v>
      </c>
      <c r="M147" s="99"/>
    </row>
  </sheetData>
  <mergeCells count="6">
    <mergeCell ref="D1:E1"/>
    <mergeCell ref="J84:L84"/>
    <mergeCell ref="A81:L82"/>
    <mergeCell ref="A11:N12"/>
    <mergeCell ref="A2:B2"/>
    <mergeCell ref="L14:M14"/>
  </mergeCells>
  <conditionalFormatting sqref="D9">
    <cfRule type="expression" dxfId="9" priority="1">
      <formula>$D9="Fail"</formula>
    </cfRule>
    <cfRule type="expression" dxfId="8" priority="2">
      <formula>$D9="Pass"</formula>
    </cfRule>
  </conditionalFormatting>
  <pageMargins left="0.25" right="0.25" top="0.75" bottom="0.75" header="0.3" footer="0.3"/>
  <pageSetup paperSize="5" scale="5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82BAA-79AC-44DF-B9FF-DD76A318401D}">
  <sheetPr codeName="Sheet4">
    <pageSetUpPr fitToPage="1"/>
  </sheetPr>
  <dimension ref="A1:O147"/>
  <sheetViews>
    <sheetView topLeftCell="A103" zoomScale="70" zoomScaleNormal="70" workbookViewId="0">
      <selection activeCell="J131" activeCellId="2" sqref="J119 J125 J131"/>
    </sheetView>
  </sheetViews>
  <sheetFormatPr defaultColWidth="9.140625" defaultRowHeight="15" x14ac:dyDescent="0.25"/>
  <cols>
    <col min="1" max="1" width="59" style="100" bestFit="1" customWidth="1"/>
    <col min="2" max="2" width="39.28515625" style="33" customWidth="1"/>
    <col min="3" max="3" width="15.7109375" style="80" customWidth="1"/>
    <col min="4" max="8" width="15.7109375" style="32" customWidth="1"/>
    <col min="9" max="11" width="15.7109375" style="34" customWidth="1"/>
    <col min="12" max="12" width="15.7109375" style="35" customWidth="1"/>
    <col min="13" max="14" width="18.28515625" style="36" customWidth="1"/>
    <col min="15" max="15" width="15.7109375" style="36" customWidth="1"/>
    <col min="16" max="16384" width="9.140625" style="36"/>
  </cols>
  <sheetData>
    <row r="1" spans="1:15" ht="21" x14ac:dyDescent="0.35">
      <c r="A1" s="317" t="str">
        <f>'Exogenous Costs'!A2</f>
        <v>Filing Date:  06/16/20</v>
      </c>
      <c r="B1" s="113"/>
      <c r="C1" s="36"/>
      <c r="D1" s="334"/>
      <c r="E1" s="334"/>
      <c r="F1" s="60"/>
      <c r="G1" s="36"/>
      <c r="H1" s="36"/>
    </row>
    <row r="2" spans="1:15" x14ac:dyDescent="0.25">
      <c r="A2" s="339" t="str">
        <f>'Exogenous Costs'!A3</f>
        <v xml:space="preserve">Filing Entity:  </v>
      </c>
      <c r="B2" s="339"/>
      <c r="C2" s="36"/>
      <c r="D2" s="36"/>
      <c r="F2" s="38"/>
      <c r="G2" s="36"/>
      <c r="H2" s="36"/>
    </row>
    <row r="3" spans="1:15" x14ac:dyDescent="0.25">
      <c r="A3" s="317" t="str">
        <f>'Exogenous Costs'!A4</f>
        <v xml:space="preserve">Transmittal Number:  </v>
      </c>
      <c r="B3" s="113"/>
      <c r="C3" s="36"/>
      <c r="D3" s="36"/>
      <c r="F3" s="38"/>
      <c r="G3" s="36"/>
      <c r="H3" s="36"/>
    </row>
    <row r="4" spans="1:15" x14ac:dyDescent="0.25">
      <c r="A4" s="245"/>
      <c r="C4" s="36"/>
      <c r="D4" s="36"/>
      <c r="F4" s="38"/>
      <c r="G4" s="36"/>
      <c r="H4" s="36"/>
      <c r="I4" s="36"/>
      <c r="J4" s="36"/>
      <c r="K4" s="36"/>
      <c r="L4" s="36"/>
    </row>
    <row r="5" spans="1:15" x14ac:dyDescent="0.25">
      <c r="A5" s="39"/>
      <c r="C5" s="36"/>
      <c r="D5" s="36"/>
      <c r="F5" s="38"/>
      <c r="G5" s="27"/>
      <c r="H5" s="44"/>
      <c r="I5" s="36"/>
      <c r="J5" s="36"/>
      <c r="K5" s="36"/>
      <c r="L5" s="36"/>
    </row>
    <row r="6" spans="1:15" x14ac:dyDescent="0.25">
      <c r="A6" s="47" t="s">
        <v>10</v>
      </c>
      <c r="B6" s="120" t="s">
        <v>146</v>
      </c>
      <c r="C6" s="36"/>
      <c r="D6" s="36"/>
      <c r="F6" s="38"/>
      <c r="G6" s="27"/>
      <c r="H6" s="44"/>
      <c r="I6" s="36"/>
      <c r="J6" s="36"/>
      <c r="K6" s="36"/>
      <c r="L6" s="36"/>
    </row>
    <row r="7" spans="1:15" x14ac:dyDescent="0.25">
      <c r="A7" s="47" t="s">
        <v>11</v>
      </c>
      <c r="B7" s="48" t="str">
        <f>VLOOKUP(B6,'Exogenous Costs'!C20:D23,2,0)</f>
        <v>BDS HoldCo EC2</v>
      </c>
      <c r="C7" s="36"/>
      <c r="D7" s="36"/>
      <c r="F7" s="38"/>
      <c r="G7" s="27"/>
      <c r="H7" s="44"/>
      <c r="I7" s="36"/>
      <c r="J7" s="36"/>
      <c r="K7" s="36"/>
      <c r="L7" s="36"/>
    </row>
    <row r="8" spans="1:15" x14ac:dyDescent="0.25">
      <c r="A8" s="300" t="s">
        <v>153</v>
      </c>
      <c r="B8" s="301">
        <f>'Factor Dev'!G17</f>
        <v>1</v>
      </c>
      <c r="C8" s="28"/>
      <c r="F8" s="38"/>
      <c r="G8" s="10"/>
      <c r="I8" s="248"/>
      <c r="J8" s="248"/>
      <c r="K8" s="71"/>
      <c r="M8" s="10"/>
      <c r="N8" s="10"/>
    </row>
    <row r="9" spans="1:15" s="73" customFormat="1" x14ac:dyDescent="0.25">
      <c r="A9" s="300" t="s">
        <v>154</v>
      </c>
      <c r="B9" s="301">
        <f>'Factor Dev'!K17</f>
        <v>0.88516700000000004</v>
      </c>
      <c r="C9" s="65"/>
      <c r="D9" s="66"/>
      <c r="E9" s="67"/>
      <c r="F9" s="67"/>
      <c r="G9" s="67"/>
      <c r="H9" s="156"/>
      <c r="I9" s="156"/>
      <c r="J9" s="156"/>
      <c r="K9" s="72"/>
    </row>
    <row r="10" spans="1:15" ht="15.75" thickBot="1" x14ac:dyDescent="0.3">
      <c r="A10" s="74"/>
      <c r="B10" s="57"/>
      <c r="C10" s="75"/>
      <c r="D10" s="76"/>
      <c r="E10" s="76"/>
      <c r="F10" s="38"/>
      <c r="G10" s="16"/>
      <c r="H10" s="76"/>
      <c r="I10" s="248"/>
      <c r="J10" s="248"/>
      <c r="K10" s="71"/>
      <c r="M10" s="10"/>
      <c r="N10" s="10"/>
    </row>
    <row r="11" spans="1:15" ht="14.45" customHeight="1" x14ac:dyDescent="0.25">
      <c r="A11" s="347" t="s">
        <v>13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9"/>
      <c r="O11" s="77"/>
    </row>
    <row r="12" spans="1:15" ht="14.45" customHeight="1" thickBot="1" x14ac:dyDescent="0.3">
      <c r="A12" s="350"/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2"/>
      <c r="O12" s="77"/>
    </row>
    <row r="13" spans="1:15" s="72" customFormat="1" ht="14.45" customHeight="1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 x14ac:dyDescent="0.25">
      <c r="A14" s="36"/>
      <c r="B14" s="79"/>
      <c r="D14" s="81"/>
      <c r="E14" s="81"/>
      <c r="F14" s="81"/>
      <c r="G14" s="81"/>
      <c r="H14" s="81"/>
      <c r="I14" s="36"/>
      <c r="J14" s="36"/>
      <c r="K14" s="82"/>
      <c r="L14" s="353" t="s">
        <v>68</v>
      </c>
      <c r="M14" s="354"/>
      <c r="N14" s="292"/>
      <c r="O14" s="58"/>
    </row>
    <row r="15" spans="1:15" s="59" customFormat="1" ht="276.75" customHeight="1" x14ac:dyDescent="0.25">
      <c r="A15" s="84" t="s">
        <v>18</v>
      </c>
      <c r="B15" s="84" t="s">
        <v>14</v>
      </c>
      <c r="C15" s="85" t="s">
        <v>1</v>
      </c>
      <c r="D15" s="291" t="s">
        <v>134</v>
      </c>
      <c r="E15" s="291" t="s">
        <v>135</v>
      </c>
      <c r="F15" s="291" t="s">
        <v>136</v>
      </c>
      <c r="G15" s="291" t="s">
        <v>137</v>
      </c>
      <c r="H15" s="291" t="s">
        <v>63</v>
      </c>
      <c r="I15" s="87" t="s">
        <v>109</v>
      </c>
      <c r="J15" s="88" t="s">
        <v>110</v>
      </c>
      <c r="K15" s="88" t="s">
        <v>111</v>
      </c>
      <c r="L15" s="293" t="s">
        <v>138</v>
      </c>
      <c r="M15" s="293" t="s">
        <v>22</v>
      </c>
      <c r="N15" s="291" t="s">
        <v>139</v>
      </c>
    </row>
    <row r="16" spans="1:15" s="57" customFormat="1" x14ac:dyDescent="0.25">
      <c r="A16" s="89"/>
      <c r="B16" s="90"/>
      <c r="C16" s="84" t="str">
        <f>"Col "&amp;COLUMN(C17)+24</f>
        <v>Col 27</v>
      </c>
      <c r="D16" s="84" t="str">
        <f t="shared" ref="D16:N16" si="0">"Col "&amp;COLUMN(D17)+24</f>
        <v>Col 28</v>
      </c>
      <c r="E16" s="84" t="str">
        <f t="shared" si="0"/>
        <v>Col 29</v>
      </c>
      <c r="F16" s="84" t="str">
        <f t="shared" si="0"/>
        <v>Col 30</v>
      </c>
      <c r="G16" s="84" t="str">
        <f t="shared" si="0"/>
        <v>Col 31</v>
      </c>
      <c r="H16" s="84" t="str">
        <f t="shared" si="0"/>
        <v>Col 32</v>
      </c>
      <c r="I16" s="84" t="str">
        <f t="shared" si="0"/>
        <v>Col 33</v>
      </c>
      <c r="J16" s="84" t="str">
        <f t="shared" si="0"/>
        <v>Col 34</v>
      </c>
      <c r="K16" s="84" t="str">
        <f t="shared" si="0"/>
        <v>Col 35</v>
      </c>
      <c r="L16" s="84" t="str">
        <f t="shared" si="0"/>
        <v>Col 36</v>
      </c>
      <c r="M16" s="84" t="str">
        <f t="shared" si="0"/>
        <v>Col 37</v>
      </c>
      <c r="N16" s="84" t="str">
        <f t="shared" si="0"/>
        <v>Col 38</v>
      </c>
    </row>
    <row r="17" spans="1:14" s="57" customFormat="1" ht="153" customHeight="1" x14ac:dyDescent="0.25">
      <c r="A17" s="84" t="s">
        <v>2</v>
      </c>
      <c r="B17" s="84" t="s">
        <v>2</v>
      </c>
      <c r="C17" s="20" t="s">
        <v>2</v>
      </c>
      <c r="D17" s="84" t="s">
        <v>2</v>
      </c>
      <c r="E17" s="299" t="str">
        <f>D16&amp;" X Category Relationship Unfreeze Factor X Net Contributor or Net Recipient Factor"</f>
        <v>Col 28 X Category Relationship Unfreeze Factor X Net Contributor or Net Recipient Factor</v>
      </c>
      <c r="F17" s="91" t="s">
        <v>2</v>
      </c>
      <c r="G17" s="91" t="str">
        <f>"("&amp;F16&amp;" / "&amp;E16&amp;")"&amp;" - 1"</f>
        <v>(Col 30 / Col 29) - 1</v>
      </c>
      <c r="H17" s="91" t="str">
        <f>"("&amp;F16&amp;" / "&amp;D16&amp;")"&amp;" - 1"</f>
        <v>(Col 30 / Col 28) - 1</v>
      </c>
      <c r="I17" s="92" t="s">
        <v>2</v>
      </c>
      <c r="J17" s="92" t="s">
        <v>2</v>
      </c>
      <c r="K17" s="92" t="s">
        <v>2</v>
      </c>
      <c r="L17" s="91" t="str">
        <f>"(("&amp;E16&amp;" X "&amp;I16&amp;") + ("&amp;E16&amp;" X "&amp;J16&amp;" X Appropriate Discount) + ("&amp;E16&amp;" X "&amp;K16&amp;" X Appropriate Discount))"</f>
        <v>((Col 29 X Col 33) + (Col 29 X Col 34 X Appropriate Discount) + (Col 29 X Col 35 X Appropriate Discount))</v>
      </c>
      <c r="M17" s="91" t="str">
        <f>"(("&amp;F16&amp;" X "&amp;I16&amp;") + ("&amp;F16&amp;" X "&amp;J16&amp;" X Appropriate Discount) + ("&amp;F16&amp;" X "&amp;K16&amp;" X Appropriate Discount))"</f>
        <v>((Col 30 X Col 33) + (Col 30 X Col 34 X Appropriate Discount) + (Col 30 X Col 35 X Appropriate Discount))</v>
      </c>
      <c r="N17" s="91" t="str">
        <f>CONCATENATE(M16," - ",L16)</f>
        <v>Col 37 - Col 36</v>
      </c>
    </row>
    <row r="18" spans="1:14" s="199" customFormat="1" ht="30.75" customHeight="1" x14ac:dyDescent="0.25">
      <c r="A18" s="194"/>
      <c r="B18" s="195" t="s">
        <v>33</v>
      </c>
      <c r="C18" s="195" t="s">
        <v>27</v>
      </c>
      <c r="D18" s="196"/>
      <c r="E18" s="196"/>
      <c r="F18" s="196"/>
      <c r="G18" s="196"/>
      <c r="H18" s="196"/>
      <c r="I18" s="197"/>
      <c r="J18" s="197"/>
      <c r="K18" s="197"/>
      <c r="L18" s="198"/>
      <c r="M18" s="198"/>
      <c r="N18" s="198"/>
    </row>
    <row r="19" spans="1:14" s="57" customFormat="1" x14ac:dyDescent="0.25">
      <c r="A19" s="93" t="s">
        <v>171</v>
      </c>
      <c r="B19" s="93" t="s">
        <v>172</v>
      </c>
      <c r="C19" s="95" t="s">
        <v>27</v>
      </c>
      <c r="D19" s="233">
        <v>100</v>
      </c>
      <c r="E19" s="96">
        <f>ROUND(D19*$B$8*$B$9,2)</f>
        <v>88.52</v>
      </c>
      <c r="F19" s="233">
        <v>100</v>
      </c>
      <c r="G19" s="97">
        <f>IFERROR(ROUND((F19/E19)-1,3),0)</f>
        <v>0.13</v>
      </c>
      <c r="H19" s="97">
        <f>ROUND(IFERROR((F19/D19)-1,0),3)</f>
        <v>0</v>
      </c>
      <c r="I19" s="234">
        <v>100</v>
      </c>
      <c r="J19" s="234">
        <v>10</v>
      </c>
      <c r="K19" s="234">
        <v>5</v>
      </c>
      <c r="L19" s="98">
        <f>IFERROR(ROUND(((E19*$I19)+(E19*$J19*0.8)+(E19*$K19*0.9)),2),0)</f>
        <v>9958.5</v>
      </c>
      <c r="M19" s="98">
        <f>IFERROR(ROUND(((F19*$I19)+(F19*$J19*0.8)+(F19*$K19*0.9)),2),0)</f>
        <v>11250</v>
      </c>
      <c r="N19" s="98">
        <f>ROUND(M19-L19,2)</f>
        <v>1291.5</v>
      </c>
    </row>
    <row r="20" spans="1:14" s="57" customFormat="1" x14ac:dyDescent="0.25">
      <c r="A20" s="93"/>
      <c r="B20" s="93"/>
      <c r="C20" s="95"/>
      <c r="D20" s="233"/>
      <c r="E20" s="96">
        <f t="shared" ref="E20:E23" si="1">ROUND(D20*$B$8*$B$9,2)</f>
        <v>0</v>
      </c>
      <c r="F20" s="233"/>
      <c r="G20" s="97">
        <f t="shared" ref="G20:G23" si="2">IFERROR(ROUND((F20/E20)-1,3),0)</f>
        <v>0</v>
      </c>
      <c r="H20" s="97">
        <f t="shared" ref="H20:H23" si="3">ROUND(IFERROR((F20/D20)-1,0),3)</f>
        <v>0</v>
      </c>
      <c r="I20" s="234"/>
      <c r="J20" s="234"/>
      <c r="K20" s="234"/>
      <c r="L20" s="98">
        <f t="shared" ref="L20:M23" si="4">IFERROR(ROUND(((E20*$I20)+(E20*$J20*0.8)+(E20*$K20*0.9)),2),0)</f>
        <v>0</v>
      </c>
      <c r="M20" s="98">
        <f t="shared" si="4"/>
        <v>0</v>
      </c>
      <c r="N20" s="98">
        <f t="shared" ref="N20:N23" si="5">ROUND(M20-L20,2)</f>
        <v>0</v>
      </c>
    </row>
    <row r="21" spans="1:14" s="57" customFormat="1" x14ac:dyDescent="0.25">
      <c r="A21" s="93"/>
      <c r="B21" s="93"/>
      <c r="C21" s="95"/>
      <c r="D21" s="233"/>
      <c r="E21" s="96">
        <f t="shared" si="1"/>
        <v>0</v>
      </c>
      <c r="F21" s="233"/>
      <c r="G21" s="97">
        <f t="shared" si="2"/>
        <v>0</v>
      </c>
      <c r="H21" s="97">
        <f t="shared" si="3"/>
        <v>0</v>
      </c>
      <c r="I21" s="234"/>
      <c r="J21" s="234"/>
      <c r="K21" s="234"/>
      <c r="L21" s="98">
        <f t="shared" si="4"/>
        <v>0</v>
      </c>
      <c r="M21" s="98">
        <f t="shared" si="4"/>
        <v>0</v>
      </c>
      <c r="N21" s="98">
        <f t="shared" si="5"/>
        <v>0</v>
      </c>
    </row>
    <row r="22" spans="1:14" s="57" customFormat="1" x14ac:dyDescent="0.25">
      <c r="A22" s="93"/>
      <c r="B22" s="93"/>
      <c r="C22" s="95"/>
      <c r="D22" s="233"/>
      <c r="E22" s="96">
        <f t="shared" si="1"/>
        <v>0</v>
      </c>
      <c r="F22" s="233"/>
      <c r="G22" s="97">
        <f t="shared" si="2"/>
        <v>0</v>
      </c>
      <c r="H22" s="97">
        <f t="shared" si="3"/>
        <v>0</v>
      </c>
      <c r="I22" s="234"/>
      <c r="J22" s="234"/>
      <c r="K22" s="234"/>
      <c r="L22" s="98">
        <f t="shared" si="4"/>
        <v>0</v>
      </c>
      <c r="M22" s="98">
        <f t="shared" si="4"/>
        <v>0</v>
      </c>
      <c r="N22" s="98">
        <f t="shared" si="5"/>
        <v>0</v>
      </c>
    </row>
    <row r="23" spans="1:14" s="57" customFormat="1" x14ac:dyDescent="0.25">
      <c r="A23" s="93"/>
      <c r="B23" s="93"/>
      <c r="C23" s="95"/>
      <c r="D23" s="233"/>
      <c r="E23" s="96">
        <f t="shared" si="1"/>
        <v>0</v>
      </c>
      <c r="F23" s="233"/>
      <c r="G23" s="97">
        <f t="shared" si="2"/>
        <v>0</v>
      </c>
      <c r="H23" s="97">
        <f t="shared" si="3"/>
        <v>0</v>
      </c>
      <c r="I23" s="234"/>
      <c r="J23" s="234"/>
      <c r="K23" s="234"/>
      <c r="L23" s="98">
        <f t="shared" si="4"/>
        <v>0</v>
      </c>
      <c r="M23" s="98">
        <f t="shared" si="4"/>
        <v>0</v>
      </c>
      <c r="N23" s="98">
        <f t="shared" si="5"/>
        <v>0</v>
      </c>
    </row>
    <row r="24" spans="1:14" s="199" customFormat="1" ht="30.75" customHeight="1" x14ac:dyDescent="0.25">
      <c r="A24" s="194"/>
      <c r="B24" s="195" t="s">
        <v>32</v>
      </c>
      <c r="C24" s="195" t="s">
        <v>28</v>
      </c>
      <c r="D24" s="201"/>
      <c r="E24" s="201"/>
      <c r="F24" s="201"/>
      <c r="G24" s="202"/>
      <c r="H24" s="202"/>
      <c r="I24" s="197"/>
      <c r="J24" s="197"/>
      <c r="K24" s="197"/>
      <c r="L24" s="198"/>
      <c r="M24" s="198"/>
      <c r="N24" s="198"/>
    </row>
    <row r="25" spans="1:14" s="57" customFormat="1" x14ac:dyDescent="0.25">
      <c r="A25" s="93" t="s">
        <v>171</v>
      </c>
      <c r="B25" s="94" t="s">
        <v>173</v>
      </c>
      <c r="C25" s="95" t="s">
        <v>28</v>
      </c>
      <c r="D25" s="96">
        <v>100</v>
      </c>
      <c r="E25" s="96">
        <f t="shared" ref="E25:E29" si="6">ROUND(D25*$B$8*$B$9,2)</f>
        <v>88.52</v>
      </c>
      <c r="F25" s="96">
        <v>100</v>
      </c>
      <c r="G25" s="97">
        <f t="shared" ref="G25:G29" si="7">IFERROR(ROUND((F25/E25)-1,3),0)</f>
        <v>0.13</v>
      </c>
      <c r="H25" s="97">
        <f t="shared" ref="H25:H29" si="8">ROUND(IFERROR((F25/D25)-1,0),3)</f>
        <v>0</v>
      </c>
      <c r="I25" s="234">
        <v>100</v>
      </c>
      <c r="J25" s="234">
        <v>10</v>
      </c>
      <c r="K25" s="234">
        <v>5</v>
      </c>
      <c r="L25" s="98">
        <f t="shared" ref="L25:M29" si="9">IFERROR(ROUND(((E25*$I25)+(E25*$J25*0.8)+(E25*$K25*0.9)),2),0)</f>
        <v>9958.5</v>
      </c>
      <c r="M25" s="98">
        <f t="shared" si="9"/>
        <v>11250</v>
      </c>
      <c r="N25" s="98">
        <f t="shared" ref="N25:N29" si="10">ROUND(M25-L25,2)</f>
        <v>1291.5</v>
      </c>
    </row>
    <row r="26" spans="1:14" s="57" customFormat="1" x14ac:dyDescent="0.25">
      <c r="A26" s="93"/>
      <c r="B26" s="93"/>
      <c r="C26" s="95"/>
      <c r="D26" s="233"/>
      <c r="E26" s="96">
        <f t="shared" si="6"/>
        <v>0</v>
      </c>
      <c r="F26" s="233"/>
      <c r="G26" s="97">
        <f t="shared" si="7"/>
        <v>0</v>
      </c>
      <c r="H26" s="97">
        <f t="shared" si="8"/>
        <v>0</v>
      </c>
      <c r="I26" s="234"/>
      <c r="J26" s="234"/>
      <c r="K26" s="234"/>
      <c r="L26" s="98">
        <f t="shared" si="9"/>
        <v>0</v>
      </c>
      <c r="M26" s="98">
        <f t="shared" si="9"/>
        <v>0</v>
      </c>
      <c r="N26" s="98">
        <f t="shared" si="10"/>
        <v>0</v>
      </c>
    </row>
    <row r="27" spans="1:14" s="57" customFormat="1" x14ac:dyDescent="0.25">
      <c r="A27" s="93"/>
      <c r="B27" s="93"/>
      <c r="C27" s="95"/>
      <c r="D27" s="233"/>
      <c r="E27" s="96">
        <f t="shared" si="6"/>
        <v>0</v>
      </c>
      <c r="F27" s="233"/>
      <c r="G27" s="97">
        <f t="shared" si="7"/>
        <v>0</v>
      </c>
      <c r="H27" s="97">
        <f t="shared" si="8"/>
        <v>0</v>
      </c>
      <c r="I27" s="234"/>
      <c r="J27" s="234"/>
      <c r="K27" s="234"/>
      <c r="L27" s="98">
        <f t="shared" si="9"/>
        <v>0</v>
      </c>
      <c r="M27" s="98">
        <f t="shared" si="9"/>
        <v>0</v>
      </c>
      <c r="N27" s="98">
        <f t="shared" si="10"/>
        <v>0</v>
      </c>
    </row>
    <row r="28" spans="1:14" s="57" customFormat="1" x14ac:dyDescent="0.25">
      <c r="A28" s="93"/>
      <c r="B28" s="93"/>
      <c r="C28" s="95"/>
      <c r="D28" s="233"/>
      <c r="E28" s="96">
        <f t="shared" si="6"/>
        <v>0</v>
      </c>
      <c r="F28" s="233"/>
      <c r="G28" s="97">
        <f t="shared" si="7"/>
        <v>0</v>
      </c>
      <c r="H28" s="97">
        <f t="shared" si="8"/>
        <v>0</v>
      </c>
      <c r="I28" s="234"/>
      <c r="J28" s="234"/>
      <c r="K28" s="234"/>
      <c r="L28" s="98">
        <f t="shared" si="9"/>
        <v>0</v>
      </c>
      <c r="M28" s="98">
        <f t="shared" si="9"/>
        <v>0</v>
      </c>
      <c r="N28" s="98">
        <f t="shared" si="10"/>
        <v>0</v>
      </c>
    </row>
    <row r="29" spans="1:14" s="57" customFormat="1" x14ac:dyDescent="0.25">
      <c r="A29" s="93"/>
      <c r="B29" s="93"/>
      <c r="C29" s="95"/>
      <c r="D29" s="233"/>
      <c r="E29" s="96">
        <f t="shared" si="6"/>
        <v>0</v>
      </c>
      <c r="F29" s="233"/>
      <c r="G29" s="97">
        <f t="shared" si="7"/>
        <v>0</v>
      </c>
      <c r="H29" s="97">
        <f t="shared" si="8"/>
        <v>0</v>
      </c>
      <c r="I29" s="234"/>
      <c r="J29" s="234"/>
      <c r="K29" s="234"/>
      <c r="L29" s="98">
        <f t="shared" si="9"/>
        <v>0</v>
      </c>
      <c r="M29" s="98">
        <f t="shared" si="9"/>
        <v>0</v>
      </c>
      <c r="N29" s="98">
        <f t="shared" si="10"/>
        <v>0</v>
      </c>
    </row>
    <row r="30" spans="1:14" s="199" customFormat="1" ht="30" customHeight="1" x14ac:dyDescent="0.25">
      <c r="A30" s="194"/>
      <c r="B30" s="195" t="s">
        <v>31</v>
      </c>
      <c r="C30" s="195" t="s">
        <v>29</v>
      </c>
      <c r="D30" s="201"/>
      <c r="E30" s="201"/>
      <c r="F30" s="201"/>
      <c r="G30" s="202"/>
      <c r="H30" s="202"/>
      <c r="I30" s="197"/>
      <c r="J30" s="197"/>
      <c r="K30" s="197"/>
      <c r="L30" s="198"/>
      <c r="M30" s="198"/>
      <c r="N30" s="198"/>
    </row>
    <row r="31" spans="1:14" s="57" customFormat="1" ht="15" customHeight="1" x14ac:dyDescent="0.25">
      <c r="A31" s="93" t="s">
        <v>171</v>
      </c>
      <c r="B31" s="93" t="s">
        <v>174</v>
      </c>
      <c r="C31" s="95" t="s">
        <v>29</v>
      </c>
      <c r="D31" s="233">
        <v>100</v>
      </c>
      <c r="E31" s="96">
        <f t="shared" ref="E31:E35" si="11">ROUND(D31*$B$8*$B$9,2)</f>
        <v>88.52</v>
      </c>
      <c r="F31" s="233">
        <v>100</v>
      </c>
      <c r="G31" s="97">
        <f t="shared" ref="G31:G35" si="12">IFERROR(ROUND((F31/E31)-1,3),0)</f>
        <v>0.13</v>
      </c>
      <c r="H31" s="97">
        <f t="shared" ref="H31:H35" si="13">ROUND(IFERROR((F31/D31)-1,0),3)</f>
        <v>0</v>
      </c>
      <c r="I31" s="234">
        <v>100</v>
      </c>
      <c r="J31" s="234">
        <v>10</v>
      </c>
      <c r="K31" s="234">
        <v>5</v>
      </c>
      <c r="L31" s="98">
        <f t="shared" ref="L31:M35" si="14">IFERROR(ROUND(((E31*$I31)+(E31*$J31*0.8)+(E31*$K31*0.9)),2),0)</f>
        <v>9958.5</v>
      </c>
      <c r="M31" s="98">
        <f t="shared" si="14"/>
        <v>11250</v>
      </c>
      <c r="N31" s="98">
        <f t="shared" ref="N31:N35" si="15">ROUND(M31-L31,2)</f>
        <v>1291.5</v>
      </c>
    </row>
    <row r="32" spans="1:14" s="57" customFormat="1" x14ac:dyDescent="0.25">
      <c r="A32" s="93"/>
      <c r="B32" s="93"/>
      <c r="C32" s="95"/>
      <c r="D32" s="233"/>
      <c r="E32" s="96">
        <f t="shared" si="11"/>
        <v>0</v>
      </c>
      <c r="F32" s="233"/>
      <c r="G32" s="97">
        <f t="shared" si="12"/>
        <v>0</v>
      </c>
      <c r="H32" s="97">
        <f t="shared" si="13"/>
        <v>0</v>
      </c>
      <c r="I32" s="234"/>
      <c r="J32" s="234"/>
      <c r="K32" s="234"/>
      <c r="L32" s="98">
        <f t="shared" si="14"/>
        <v>0</v>
      </c>
      <c r="M32" s="98">
        <f t="shared" si="14"/>
        <v>0</v>
      </c>
      <c r="N32" s="98">
        <f t="shared" si="15"/>
        <v>0</v>
      </c>
    </row>
    <row r="33" spans="1:14" s="57" customFormat="1" x14ac:dyDescent="0.25">
      <c r="A33" s="93"/>
      <c r="B33" s="93"/>
      <c r="C33" s="95"/>
      <c r="D33" s="233"/>
      <c r="E33" s="96">
        <f t="shared" si="11"/>
        <v>0</v>
      </c>
      <c r="F33" s="233"/>
      <c r="G33" s="97">
        <f t="shared" si="12"/>
        <v>0</v>
      </c>
      <c r="H33" s="97">
        <f t="shared" si="13"/>
        <v>0</v>
      </c>
      <c r="I33" s="234"/>
      <c r="J33" s="234"/>
      <c r="K33" s="234"/>
      <c r="L33" s="98">
        <f t="shared" si="14"/>
        <v>0</v>
      </c>
      <c r="M33" s="98">
        <f t="shared" si="14"/>
        <v>0</v>
      </c>
      <c r="N33" s="98">
        <f t="shared" si="15"/>
        <v>0</v>
      </c>
    </row>
    <row r="34" spans="1:14" s="57" customFormat="1" x14ac:dyDescent="0.25">
      <c r="A34" s="93"/>
      <c r="B34" s="93"/>
      <c r="C34" s="95"/>
      <c r="D34" s="233"/>
      <c r="E34" s="96">
        <f t="shared" si="11"/>
        <v>0</v>
      </c>
      <c r="F34" s="233"/>
      <c r="G34" s="97">
        <f t="shared" si="12"/>
        <v>0</v>
      </c>
      <c r="H34" s="97">
        <f t="shared" si="13"/>
        <v>0</v>
      </c>
      <c r="I34" s="234"/>
      <c r="J34" s="234"/>
      <c r="K34" s="234"/>
      <c r="L34" s="98">
        <f t="shared" si="14"/>
        <v>0</v>
      </c>
      <c r="M34" s="98">
        <f t="shared" si="14"/>
        <v>0</v>
      </c>
      <c r="N34" s="98">
        <f t="shared" si="15"/>
        <v>0</v>
      </c>
    </row>
    <row r="35" spans="1:14" s="57" customFormat="1" x14ac:dyDescent="0.25">
      <c r="A35" s="93"/>
      <c r="B35" s="93"/>
      <c r="C35" s="95"/>
      <c r="D35" s="233"/>
      <c r="E35" s="96">
        <f t="shared" si="11"/>
        <v>0</v>
      </c>
      <c r="F35" s="233"/>
      <c r="G35" s="97">
        <f t="shared" si="12"/>
        <v>0</v>
      </c>
      <c r="H35" s="97">
        <f t="shared" si="13"/>
        <v>0</v>
      </c>
      <c r="I35" s="234"/>
      <c r="J35" s="234"/>
      <c r="K35" s="234"/>
      <c r="L35" s="98">
        <f t="shared" si="14"/>
        <v>0</v>
      </c>
      <c r="M35" s="98">
        <f t="shared" si="14"/>
        <v>0</v>
      </c>
      <c r="N35" s="98">
        <f t="shared" si="15"/>
        <v>0</v>
      </c>
    </row>
    <row r="36" spans="1:14" s="199" customFormat="1" ht="30.75" customHeight="1" x14ac:dyDescent="0.25">
      <c r="A36" s="194"/>
      <c r="B36" s="195" t="s">
        <v>30</v>
      </c>
      <c r="C36" s="195" t="s">
        <v>45</v>
      </c>
      <c r="D36" s="201"/>
      <c r="E36" s="201"/>
      <c r="F36" s="201"/>
      <c r="G36" s="202"/>
      <c r="H36" s="202"/>
      <c r="I36" s="197"/>
      <c r="J36" s="197"/>
      <c r="K36" s="197"/>
      <c r="L36" s="198"/>
      <c r="M36" s="198"/>
      <c r="N36" s="198"/>
    </row>
    <row r="37" spans="1:14" s="57" customFormat="1" x14ac:dyDescent="0.25">
      <c r="A37" s="93" t="s">
        <v>171</v>
      </c>
      <c r="B37" s="93" t="s">
        <v>175</v>
      </c>
      <c r="C37" s="95" t="s">
        <v>45</v>
      </c>
      <c r="D37" s="233">
        <v>100</v>
      </c>
      <c r="E37" s="96">
        <f t="shared" ref="E37:E41" si="16">ROUND(D37*$B$8*$B$9,2)</f>
        <v>88.52</v>
      </c>
      <c r="F37" s="233">
        <v>100</v>
      </c>
      <c r="G37" s="97">
        <f t="shared" ref="G37:G41" si="17">IFERROR(ROUND((F37/E37)-1,3),0)</f>
        <v>0.13</v>
      </c>
      <c r="H37" s="97">
        <f t="shared" ref="H37:H41" si="18">ROUND(IFERROR((F37/D37)-1,0),3)</f>
        <v>0</v>
      </c>
      <c r="I37" s="234">
        <v>100</v>
      </c>
      <c r="J37" s="234">
        <v>10</v>
      </c>
      <c r="K37" s="234">
        <v>5</v>
      </c>
      <c r="L37" s="98">
        <f t="shared" ref="L37:M41" si="19">IFERROR(ROUND(((E37*$I37)+(E37*$J37*0.8)+(E37*$K37*0.9)),2),0)</f>
        <v>9958.5</v>
      </c>
      <c r="M37" s="98">
        <f t="shared" si="19"/>
        <v>11250</v>
      </c>
      <c r="N37" s="98">
        <f t="shared" ref="N37:N41" si="20">ROUND(M37-L37,2)</f>
        <v>1291.5</v>
      </c>
    </row>
    <row r="38" spans="1:14" s="57" customFormat="1" x14ac:dyDescent="0.25">
      <c r="A38" s="93"/>
      <c r="B38" s="93"/>
      <c r="C38" s="95"/>
      <c r="D38" s="233"/>
      <c r="E38" s="96">
        <f t="shared" si="16"/>
        <v>0</v>
      </c>
      <c r="F38" s="233"/>
      <c r="G38" s="97">
        <f t="shared" si="17"/>
        <v>0</v>
      </c>
      <c r="H38" s="97">
        <f t="shared" si="18"/>
        <v>0</v>
      </c>
      <c r="I38" s="234"/>
      <c r="J38" s="234"/>
      <c r="K38" s="234"/>
      <c r="L38" s="98">
        <f t="shared" si="19"/>
        <v>0</v>
      </c>
      <c r="M38" s="98">
        <f t="shared" si="19"/>
        <v>0</v>
      </c>
      <c r="N38" s="98">
        <f t="shared" si="20"/>
        <v>0</v>
      </c>
    </row>
    <row r="39" spans="1:14" s="57" customFormat="1" x14ac:dyDescent="0.25">
      <c r="A39" s="93"/>
      <c r="B39" s="93"/>
      <c r="C39" s="95"/>
      <c r="D39" s="233"/>
      <c r="E39" s="96">
        <f t="shared" si="16"/>
        <v>0</v>
      </c>
      <c r="F39" s="233"/>
      <c r="G39" s="97">
        <f t="shared" si="17"/>
        <v>0</v>
      </c>
      <c r="H39" s="97">
        <f t="shared" si="18"/>
        <v>0</v>
      </c>
      <c r="I39" s="234"/>
      <c r="J39" s="234"/>
      <c r="K39" s="234"/>
      <c r="L39" s="98">
        <f t="shared" si="19"/>
        <v>0</v>
      </c>
      <c r="M39" s="98">
        <f t="shared" si="19"/>
        <v>0</v>
      </c>
      <c r="N39" s="98">
        <f t="shared" si="20"/>
        <v>0</v>
      </c>
    </row>
    <row r="40" spans="1:14" s="57" customFormat="1" x14ac:dyDescent="0.25">
      <c r="A40" s="93"/>
      <c r="B40" s="93"/>
      <c r="C40" s="95"/>
      <c r="D40" s="233"/>
      <c r="E40" s="96">
        <f t="shared" si="16"/>
        <v>0</v>
      </c>
      <c r="F40" s="233"/>
      <c r="G40" s="97">
        <f t="shared" si="17"/>
        <v>0</v>
      </c>
      <c r="H40" s="97">
        <f t="shared" si="18"/>
        <v>0</v>
      </c>
      <c r="I40" s="234"/>
      <c r="J40" s="234"/>
      <c r="K40" s="234"/>
      <c r="L40" s="98">
        <f t="shared" si="19"/>
        <v>0</v>
      </c>
      <c r="M40" s="98">
        <f t="shared" si="19"/>
        <v>0</v>
      </c>
      <c r="N40" s="98">
        <f t="shared" si="20"/>
        <v>0</v>
      </c>
    </row>
    <row r="41" spans="1:14" s="57" customFormat="1" x14ac:dyDescent="0.25">
      <c r="A41" s="93"/>
      <c r="B41" s="93"/>
      <c r="C41" s="95"/>
      <c r="D41" s="233"/>
      <c r="E41" s="96">
        <f t="shared" si="16"/>
        <v>0</v>
      </c>
      <c r="F41" s="233"/>
      <c r="G41" s="97">
        <f t="shared" si="17"/>
        <v>0</v>
      </c>
      <c r="H41" s="97">
        <f t="shared" si="18"/>
        <v>0</v>
      </c>
      <c r="I41" s="234"/>
      <c r="J41" s="234"/>
      <c r="K41" s="234"/>
      <c r="L41" s="98">
        <f t="shared" si="19"/>
        <v>0</v>
      </c>
      <c r="M41" s="98">
        <f t="shared" si="19"/>
        <v>0</v>
      </c>
      <c r="N41" s="98">
        <f t="shared" si="20"/>
        <v>0</v>
      </c>
    </row>
    <row r="42" spans="1:14" s="199" customFormat="1" x14ac:dyDescent="0.25">
      <c r="A42" s="194"/>
      <c r="B42" s="195" t="s">
        <v>34</v>
      </c>
      <c r="C42" s="195" t="s">
        <v>35</v>
      </c>
      <c r="D42" s="201"/>
      <c r="E42" s="201"/>
      <c r="F42" s="201"/>
      <c r="G42" s="202"/>
      <c r="H42" s="202"/>
      <c r="I42" s="197"/>
      <c r="J42" s="197"/>
      <c r="K42" s="197"/>
      <c r="L42" s="198"/>
      <c r="M42" s="198"/>
      <c r="N42" s="198"/>
    </row>
    <row r="43" spans="1:14" s="57" customFormat="1" x14ac:dyDescent="0.25">
      <c r="A43" s="93" t="s">
        <v>171</v>
      </c>
      <c r="B43" s="93" t="s">
        <v>176</v>
      </c>
      <c r="C43" s="95" t="s">
        <v>35</v>
      </c>
      <c r="D43" s="233">
        <v>100</v>
      </c>
      <c r="E43" s="96">
        <f t="shared" ref="E43:E47" si="21">ROUND(D43*$B$8*$B$9,2)</f>
        <v>88.52</v>
      </c>
      <c r="F43" s="233">
        <v>100</v>
      </c>
      <c r="G43" s="97">
        <f t="shared" ref="G43:G47" si="22">IFERROR(ROUND((F43/E43)-1,3),0)</f>
        <v>0.13</v>
      </c>
      <c r="H43" s="97">
        <f t="shared" ref="H43:H47" si="23">ROUND(IFERROR((F43/D43)-1,0),3)</f>
        <v>0</v>
      </c>
      <c r="I43" s="234">
        <v>100</v>
      </c>
      <c r="J43" s="234">
        <v>10</v>
      </c>
      <c r="K43" s="234">
        <v>5</v>
      </c>
      <c r="L43" s="98">
        <f t="shared" ref="L43:M47" si="24">IFERROR(ROUND(((E43*$I43)+(E43*$J43*0.8)+(E43*$K43*0.9)),2),0)</f>
        <v>9958.5</v>
      </c>
      <c r="M43" s="98">
        <f t="shared" si="24"/>
        <v>11250</v>
      </c>
      <c r="N43" s="98">
        <f t="shared" ref="N43:N47" si="25">ROUND(M43-L43,2)</f>
        <v>1291.5</v>
      </c>
    </row>
    <row r="44" spans="1:14" s="57" customFormat="1" x14ac:dyDescent="0.25">
      <c r="A44" s="93"/>
      <c r="B44" s="93"/>
      <c r="C44" s="95"/>
      <c r="D44" s="233"/>
      <c r="E44" s="96">
        <f t="shared" si="21"/>
        <v>0</v>
      </c>
      <c r="F44" s="233"/>
      <c r="G44" s="97">
        <f t="shared" si="22"/>
        <v>0</v>
      </c>
      <c r="H44" s="97">
        <f t="shared" si="23"/>
        <v>0</v>
      </c>
      <c r="I44" s="234"/>
      <c r="J44" s="234"/>
      <c r="K44" s="234"/>
      <c r="L44" s="98">
        <f t="shared" si="24"/>
        <v>0</v>
      </c>
      <c r="M44" s="98">
        <f t="shared" si="24"/>
        <v>0</v>
      </c>
      <c r="N44" s="98">
        <f t="shared" si="25"/>
        <v>0</v>
      </c>
    </row>
    <row r="45" spans="1:14" s="57" customFormat="1" x14ac:dyDescent="0.25">
      <c r="A45" s="93"/>
      <c r="B45" s="93"/>
      <c r="C45" s="95"/>
      <c r="D45" s="233"/>
      <c r="E45" s="96">
        <f t="shared" si="21"/>
        <v>0</v>
      </c>
      <c r="F45" s="233"/>
      <c r="G45" s="97">
        <f t="shared" si="22"/>
        <v>0</v>
      </c>
      <c r="H45" s="97">
        <f t="shared" si="23"/>
        <v>0</v>
      </c>
      <c r="I45" s="234"/>
      <c r="J45" s="234"/>
      <c r="K45" s="234"/>
      <c r="L45" s="98">
        <f t="shared" si="24"/>
        <v>0</v>
      </c>
      <c r="M45" s="98">
        <f t="shared" si="24"/>
        <v>0</v>
      </c>
      <c r="N45" s="98">
        <f t="shared" si="25"/>
        <v>0</v>
      </c>
    </row>
    <row r="46" spans="1:14" s="57" customFormat="1" x14ac:dyDescent="0.25">
      <c r="A46" s="93"/>
      <c r="B46" s="93"/>
      <c r="C46" s="95"/>
      <c r="D46" s="233"/>
      <c r="E46" s="96">
        <f t="shared" si="21"/>
        <v>0</v>
      </c>
      <c r="F46" s="233"/>
      <c r="G46" s="97">
        <f t="shared" si="22"/>
        <v>0</v>
      </c>
      <c r="H46" s="97">
        <f t="shared" si="23"/>
        <v>0</v>
      </c>
      <c r="I46" s="234"/>
      <c r="J46" s="234"/>
      <c r="K46" s="234"/>
      <c r="L46" s="98">
        <f t="shared" si="24"/>
        <v>0</v>
      </c>
      <c r="M46" s="98">
        <f t="shared" si="24"/>
        <v>0</v>
      </c>
      <c r="N46" s="98">
        <f t="shared" si="25"/>
        <v>0</v>
      </c>
    </row>
    <row r="47" spans="1:14" s="57" customFormat="1" x14ac:dyDescent="0.25">
      <c r="A47" s="93"/>
      <c r="B47" s="93"/>
      <c r="C47" s="95"/>
      <c r="D47" s="233"/>
      <c r="E47" s="96">
        <f t="shared" si="21"/>
        <v>0</v>
      </c>
      <c r="F47" s="233"/>
      <c r="G47" s="97">
        <f t="shared" si="22"/>
        <v>0</v>
      </c>
      <c r="H47" s="97">
        <f t="shared" si="23"/>
        <v>0</v>
      </c>
      <c r="I47" s="234"/>
      <c r="J47" s="234"/>
      <c r="K47" s="234"/>
      <c r="L47" s="98">
        <f t="shared" si="24"/>
        <v>0</v>
      </c>
      <c r="M47" s="98">
        <f t="shared" si="24"/>
        <v>0</v>
      </c>
      <c r="N47" s="98">
        <f t="shared" si="25"/>
        <v>0</v>
      </c>
    </row>
    <row r="48" spans="1:14" s="199" customFormat="1" ht="30.75" customHeight="1" x14ac:dyDescent="0.25">
      <c r="A48" s="194"/>
      <c r="B48" s="195" t="s">
        <v>36</v>
      </c>
      <c r="C48" s="195" t="s">
        <v>37</v>
      </c>
      <c r="D48" s="201"/>
      <c r="E48" s="201"/>
      <c r="F48" s="201"/>
      <c r="G48" s="202"/>
      <c r="H48" s="202"/>
      <c r="I48" s="197"/>
      <c r="J48" s="197"/>
      <c r="K48" s="197"/>
      <c r="L48" s="198"/>
      <c r="M48" s="198"/>
      <c r="N48" s="198"/>
    </row>
    <row r="49" spans="1:14" s="57" customFormat="1" x14ac:dyDescent="0.25">
      <c r="A49" s="93" t="s">
        <v>171</v>
      </c>
      <c r="B49" s="93" t="s">
        <v>177</v>
      </c>
      <c r="C49" s="95" t="s">
        <v>37</v>
      </c>
      <c r="D49" s="233">
        <v>100</v>
      </c>
      <c r="E49" s="96">
        <f t="shared" ref="E49:E53" si="26">ROUND(D49*$B$8*$B$9,2)</f>
        <v>88.52</v>
      </c>
      <c r="F49" s="233">
        <v>100</v>
      </c>
      <c r="G49" s="97">
        <f t="shared" ref="G49:G53" si="27">IFERROR(ROUND((F49/E49)-1,3),0)</f>
        <v>0.13</v>
      </c>
      <c r="H49" s="97">
        <f t="shared" ref="H49:H53" si="28">ROUND(IFERROR((F49/D49)-1,0),3)</f>
        <v>0</v>
      </c>
      <c r="I49" s="234">
        <v>100</v>
      </c>
      <c r="J49" s="234">
        <v>10</v>
      </c>
      <c r="K49" s="234">
        <v>5</v>
      </c>
      <c r="L49" s="98">
        <f t="shared" ref="L49:M53" si="29">IFERROR(ROUND(((E49*$I49)+(E49*$J49*0.8)+(E49*$K49*0.9)),2),0)</f>
        <v>9958.5</v>
      </c>
      <c r="M49" s="98">
        <f t="shared" si="29"/>
        <v>11250</v>
      </c>
      <c r="N49" s="98">
        <f t="shared" ref="N49:N53" si="30">ROUND(M49-L49,2)</f>
        <v>1291.5</v>
      </c>
    </row>
    <row r="50" spans="1:14" s="57" customFormat="1" x14ac:dyDescent="0.25">
      <c r="A50" s="93"/>
      <c r="B50" s="93"/>
      <c r="C50" s="95"/>
      <c r="D50" s="233"/>
      <c r="E50" s="96">
        <f t="shared" si="26"/>
        <v>0</v>
      </c>
      <c r="F50" s="233"/>
      <c r="G50" s="97">
        <f t="shared" si="27"/>
        <v>0</v>
      </c>
      <c r="H50" s="97">
        <f t="shared" si="28"/>
        <v>0</v>
      </c>
      <c r="I50" s="234"/>
      <c r="J50" s="234"/>
      <c r="K50" s="234"/>
      <c r="L50" s="98">
        <f t="shared" si="29"/>
        <v>0</v>
      </c>
      <c r="M50" s="98">
        <f t="shared" si="29"/>
        <v>0</v>
      </c>
      <c r="N50" s="98">
        <f t="shared" si="30"/>
        <v>0</v>
      </c>
    </row>
    <row r="51" spans="1:14" s="57" customFormat="1" x14ac:dyDescent="0.25">
      <c r="A51" s="93"/>
      <c r="B51" s="93"/>
      <c r="C51" s="95"/>
      <c r="D51" s="233"/>
      <c r="E51" s="96">
        <f t="shared" si="26"/>
        <v>0</v>
      </c>
      <c r="F51" s="233"/>
      <c r="G51" s="97">
        <f t="shared" si="27"/>
        <v>0</v>
      </c>
      <c r="H51" s="97">
        <f t="shared" si="28"/>
        <v>0</v>
      </c>
      <c r="I51" s="234"/>
      <c r="J51" s="234"/>
      <c r="K51" s="234"/>
      <c r="L51" s="98">
        <f t="shared" si="29"/>
        <v>0</v>
      </c>
      <c r="M51" s="98">
        <f t="shared" si="29"/>
        <v>0</v>
      </c>
      <c r="N51" s="98">
        <f t="shared" si="30"/>
        <v>0</v>
      </c>
    </row>
    <row r="52" spans="1:14" s="57" customFormat="1" x14ac:dyDescent="0.25">
      <c r="A52" s="93"/>
      <c r="B52" s="93"/>
      <c r="C52" s="95"/>
      <c r="D52" s="233"/>
      <c r="E52" s="96">
        <f t="shared" si="26"/>
        <v>0</v>
      </c>
      <c r="F52" s="233"/>
      <c r="G52" s="97">
        <f t="shared" si="27"/>
        <v>0</v>
      </c>
      <c r="H52" s="97">
        <f t="shared" si="28"/>
        <v>0</v>
      </c>
      <c r="I52" s="234"/>
      <c r="J52" s="234"/>
      <c r="K52" s="234"/>
      <c r="L52" s="98">
        <f t="shared" si="29"/>
        <v>0</v>
      </c>
      <c r="M52" s="98">
        <f t="shared" si="29"/>
        <v>0</v>
      </c>
      <c r="N52" s="98">
        <f t="shared" si="30"/>
        <v>0</v>
      </c>
    </row>
    <row r="53" spans="1:14" s="57" customFormat="1" x14ac:dyDescent="0.25">
      <c r="A53" s="93"/>
      <c r="B53" s="93"/>
      <c r="C53" s="95"/>
      <c r="D53" s="233"/>
      <c r="E53" s="96">
        <f t="shared" si="26"/>
        <v>0</v>
      </c>
      <c r="F53" s="233"/>
      <c r="G53" s="97">
        <f t="shared" si="27"/>
        <v>0</v>
      </c>
      <c r="H53" s="97">
        <f t="shared" si="28"/>
        <v>0</v>
      </c>
      <c r="I53" s="234"/>
      <c r="J53" s="234"/>
      <c r="K53" s="234"/>
      <c r="L53" s="98">
        <f t="shared" si="29"/>
        <v>0</v>
      </c>
      <c r="M53" s="98">
        <f t="shared" si="29"/>
        <v>0</v>
      </c>
      <c r="N53" s="98">
        <f t="shared" si="30"/>
        <v>0</v>
      </c>
    </row>
    <row r="54" spans="1:14" s="199" customFormat="1" ht="30" customHeight="1" x14ac:dyDescent="0.25">
      <c r="A54" s="194"/>
      <c r="B54" s="195" t="s">
        <v>38</v>
      </c>
      <c r="C54" s="195" t="s">
        <v>39</v>
      </c>
      <c r="D54" s="201"/>
      <c r="E54" s="201"/>
      <c r="F54" s="201"/>
      <c r="G54" s="202"/>
      <c r="H54" s="202"/>
      <c r="I54" s="197"/>
      <c r="J54" s="197"/>
      <c r="K54" s="197"/>
      <c r="L54" s="198"/>
      <c r="M54" s="198"/>
      <c r="N54" s="198"/>
    </row>
    <row r="55" spans="1:14" s="57" customFormat="1" x14ac:dyDescent="0.25">
      <c r="A55" s="93" t="s">
        <v>171</v>
      </c>
      <c r="B55" s="93" t="s">
        <v>178</v>
      </c>
      <c r="C55" s="95" t="s">
        <v>39</v>
      </c>
      <c r="D55" s="233">
        <v>100</v>
      </c>
      <c r="E55" s="96">
        <f t="shared" ref="E55:E59" si="31">ROUND(D55*$B$8*$B$9,2)</f>
        <v>88.52</v>
      </c>
      <c r="F55" s="233">
        <v>100</v>
      </c>
      <c r="G55" s="97">
        <f t="shared" ref="G55:G59" si="32">IFERROR(ROUND((F55/E55)-1,3),0)</f>
        <v>0.13</v>
      </c>
      <c r="H55" s="97">
        <f t="shared" ref="H55:H59" si="33">ROUND(IFERROR((F55/D55)-1,0),3)</f>
        <v>0</v>
      </c>
      <c r="I55" s="234">
        <v>100</v>
      </c>
      <c r="J55" s="234">
        <v>10</v>
      </c>
      <c r="K55" s="234">
        <v>5</v>
      </c>
      <c r="L55" s="98">
        <f t="shared" ref="L55:M59" si="34">IFERROR(ROUND(((E55*$I55)+(E55*$J55*0.8)+(E55*$K55*0.9)),2),0)</f>
        <v>9958.5</v>
      </c>
      <c r="M55" s="98">
        <f t="shared" si="34"/>
        <v>11250</v>
      </c>
      <c r="N55" s="98">
        <f t="shared" ref="N55:N59" si="35">ROUND(M55-L55,2)</f>
        <v>1291.5</v>
      </c>
    </row>
    <row r="56" spans="1:14" s="57" customFormat="1" x14ac:dyDescent="0.25">
      <c r="A56" s="93"/>
      <c r="B56" s="93"/>
      <c r="C56" s="95"/>
      <c r="D56" s="233"/>
      <c r="E56" s="96">
        <f t="shared" si="31"/>
        <v>0</v>
      </c>
      <c r="F56" s="233"/>
      <c r="G56" s="97">
        <f t="shared" si="32"/>
        <v>0</v>
      </c>
      <c r="H56" s="97">
        <f t="shared" si="33"/>
        <v>0</v>
      </c>
      <c r="I56" s="234"/>
      <c r="J56" s="234"/>
      <c r="K56" s="234"/>
      <c r="L56" s="98">
        <f t="shared" si="34"/>
        <v>0</v>
      </c>
      <c r="M56" s="98">
        <f t="shared" si="34"/>
        <v>0</v>
      </c>
      <c r="N56" s="98">
        <f t="shared" si="35"/>
        <v>0</v>
      </c>
    </row>
    <row r="57" spans="1:14" s="57" customFormat="1" x14ac:dyDescent="0.25">
      <c r="A57" s="93"/>
      <c r="B57" s="93"/>
      <c r="C57" s="95"/>
      <c r="D57" s="233"/>
      <c r="E57" s="96">
        <f t="shared" si="31"/>
        <v>0</v>
      </c>
      <c r="F57" s="233"/>
      <c r="G57" s="97">
        <f t="shared" si="32"/>
        <v>0</v>
      </c>
      <c r="H57" s="97">
        <f t="shared" si="33"/>
        <v>0</v>
      </c>
      <c r="I57" s="234"/>
      <c r="J57" s="234"/>
      <c r="K57" s="234"/>
      <c r="L57" s="98">
        <f t="shared" si="34"/>
        <v>0</v>
      </c>
      <c r="M57" s="98">
        <f t="shared" si="34"/>
        <v>0</v>
      </c>
      <c r="N57" s="98">
        <f t="shared" si="35"/>
        <v>0</v>
      </c>
    </row>
    <row r="58" spans="1:14" s="57" customFormat="1" x14ac:dyDescent="0.25">
      <c r="A58" s="93"/>
      <c r="B58" s="93"/>
      <c r="C58" s="95"/>
      <c r="D58" s="233"/>
      <c r="E58" s="96">
        <f t="shared" si="31"/>
        <v>0</v>
      </c>
      <c r="F58" s="233"/>
      <c r="G58" s="97">
        <f t="shared" si="32"/>
        <v>0</v>
      </c>
      <c r="H58" s="97">
        <f t="shared" si="33"/>
        <v>0</v>
      </c>
      <c r="I58" s="234"/>
      <c r="J58" s="234"/>
      <c r="K58" s="234"/>
      <c r="L58" s="98">
        <f t="shared" si="34"/>
        <v>0</v>
      </c>
      <c r="M58" s="98">
        <f t="shared" si="34"/>
        <v>0</v>
      </c>
      <c r="N58" s="98">
        <f t="shared" si="35"/>
        <v>0</v>
      </c>
    </row>
    <row r="59" spans="1:14" s="57" customFormat="1" x14ac:dyDescent="0.25">
      <c r="A59" s="93"/>
      <c r="B59" s="93"/>
      <c r="C59" s="95"/>
      <c r="D59" s="233"/>
      <c r="E59" s="96">
        <f t="shared" si="31"/>
        <v>0</v>
      </c>
      <c r="F59" s="233"/>
      <c r="G59" s="97">
        <f t="shared" si="32"/>
        <v>0</v>
      </c>
      <c r="H59" s="97">
        <f t="shared" si="33"/>
        <v>0</v>
      </c>
      <c r="I59" s="234"/>
      <c r="J59" s="234"/>
      <c r="K59" s="234"/>
      <c r="L59" s="98">
        <f t="shared" si="34"/>
        <v>0</v>
      </c>
      <c r="M59" s="98">
        <f t="shared" si="34"/>
        <v>0</v>
      </c>
      <c r="N59" s="98">
        <f t="shared" si="35"/>
        <v>0</v>
      </c>
    </row>
    <row r="60" spans="1:14" s="199" customFormat="1" x14ac:dyDescent="0.25">
      <c r="A60" s="194"/>
      <c r="B60" s="195" t="s">
        <v>41</v>
      </c>
      <c r="C60" s="195" t="s">
        <v>42</v>
      </c>
      <c r="D60" s="201"/>
      <c r="E60" s="201"/>
      <c r="F60" s="201"/>
      <c r="G60" s="202"/>
      <c r="H60" s="202"/>
      <c r="I60" s="197"/>
      <c r="J60" s="197"/>
      <c r="K60" s="197"/>
      <c r="L60" s="198"/>
      <c r="M60" s="198"/>
      <c r="N60" s="198"/>
    </row>
    <row r="61" spans="1:14" s="57" customFormat="1" x14ac:dyDescent="0.25">
      <c r="A61" s="93" t="s">
        <v>171</v>
      </c>
      <c r="B61" s="93" t="s">
        <v>179</v>
      </c>
      <c r="C61" s="95" t="s">
        <v>42</v>
      </c>
      <c r="D61" s="233">
        <v>100</v>
      </c>
      <c r="E61" s="96">
        <f t="shared" ref="E61:E65" si="36">ROUND(D61*$B$8*$B$9,2)</f>
        <v>88.52</v>
      </c>
      <c r="F61" s="233">
        <v>100</v>
      </c>
      <c r="G61" s="97">
        <f t="shared" ref="G61:G65" si="37">IFERROR(ROUND((F61/E61)-1,3),0)</f>
        <v>0.13</v>
      </c>
      <c r="H61" s="97">
        <f t="shared" ref="H61:H65" si="38">ROUND(IFERROR((F61/D61)-1,0),3)</f>
        <v>0</v>
      </c>
      <c r="I61" s="234">
        <v>100</v>
      </c>
      <c r="J61" s="234">
        <v>10</v>
      </c>
      <c r="K61" s="234">
        <v>5</v>
      </c>
      <c r="L61" s="98">
        <f t="shared" ref="L61:M65" si="39">IFERROR(ROUND(((E61*$I61)+(E61*$J61*0.8)+(E61*$K61*0.9)),2),0)</f>
        <v>9958.5</v>
      </c>
      <c r="M61" s="98">
        <f t="shared" si="39"/>
        <v>11250</v>
      </c>
      <c r="N61" s="98">
        <f t="shared" ref="N61:N65" si="40">ROUND(M61-L61,2)</f>
        <v>1291.5</v>
      </c>
    </row>
    <row r="62" spans="1:14" s="57" customFormat="1" x14ac:dyDescent="0.25">
      <c r="A62" s="93"/>
      <c r="B62" s="93"/>
      <c r="C62" s="95"/>
      <c r="D62" s="233"/>
      <c r="E62" s="96">
        <f t="shared" si="36"/>
        <v>0</v>
      </c>
      <c r="F62" s="233"/>
      <c r="G62" s="97">
        <f t="shared" si="37"/>
        <v>0</v>
      </c>
      <c r="H62" s="97">
        <f t="shared" si="38"/>
        <v>0</v>
      </c>
      <c r="I62" s="234"/>
      <c r="J62" s="234"/>
      <c r="K62" s="234"/>
      <c r="L62" s="98">
        <f t="shared" si="39"/>
        <v>0</v>
      </c>
      <c r="M62" s="98">
        <f t="shared" si="39"/>
        <v>0</v>
      </c>
      <c r="N62" s="98">
        <f t="shared" si="40"/>
        <v>0</v>
      </c>
    </row>
    <row r="63" spans="1:14" s="57" customFormat="1" x14ac:dyDescent="0.25">
      <c r="A63" s="93"/>
      <c r="B63" s="93"/>
      <c r="C63" s="95"/>
      <c r="D63" s="233"/>
      <c r="E63" s="96">
        <f t="shared" si="36"/>
        <v>0</v>
      </c>
      <c r="F63" s="233"/>
      <c r="G63" s="97">
        <f t="shared" si="37"/>
        <v>0</v>
      </c>
      <c r="H63" s="97">
        <f t="shared" si="38"/>
        <v>0</v>
      </c>
      <c r="I63" s="234"/>
      <c r="J63" s="234"/>
      <c r="K63" s="234"/>
      <c r="L63" s="98">
        <f t="shared" si="39"/>
        <v>0</v>
      </c>
      <c r="M63" s="98">
        <f t="shared" si="39"/>
        <v>0</v>
      </c>
      <c r="N63" s="98">
        <f t="shared" si="40"/>
        <v>0</v>
      </c>
    </row>
    <row r="64" spans="1:14" s="57" customFormat="1" x14ac:dyDescent="0.25">
      <c r="A64" s="93"/>
      <c r="B64" s="93"/>
      <c r="C64" s="95"/>
      <c r="D64" s="233"/>
      <c r="E64" s="96">
        <f t="shared" si="36"/>
        <v>0</v>
      </c>
      <c r="F64" s="233"/>
      <c r="G64" s="97">
        <f t="shared" si="37"/>
        <v>0</v>
      </c>
      <c r="H64" s="97">
        <f t="shared" si="38"/>
        <v>0</v>
      </c>
      <c r="I64" s="234"/>
      <c r="J64" s="234"/>
      <c r="K64" s="234"/>
      <c r="L64" s="98">
        <f t="shared" si="39"/>
        <v>0</v>
      </c>
      <c r="M64" s="98">
        <f t="shared" si="39"/>
        <v>0</v>
      </c>
      <c r="N64" s="98">
        <f t="shared" si="40"/>
        <v>0</v>
      </c>
    </row>
    <row r="65" spans="1:15" s="57" customFormat="1" x14ac:dyDescent="0.25">
      <c r="A65" s="93"/>
      <c r="B65" s="93"/>
      <c r="C65" s="95"/>
      <c r="D65" s="233"/>
      <c r="E65" s="96">
        <f t="shared" si="36"/>
        <v>0</v>
      </c>
      <c r="F65" s="233"/>
      <c r="G65" s="97">
        <f t="shared" si="37"/>
        <v>0</v>
      </c>
      <c r="H65" s="97">
        <f t="shared" si="38"/>
        <v>0</v>
      </c>
      <c r="I65" s="234"/>
      <c r="J65" s="234"/>
      <c r="K65" s="234"/>
      <c r="L65" s="98">
        <f t="shared" si="39"/>
        <v>0</v>
      </c>
      <c r="M65" s="98">
        <f t="shared" si="39"/>
        <v>0</v>
      </c>
      <c r="N65" s="98">
        <f t="shared" si="40"/>
        <v>0</v>
      </c>
    </row>
    <row r="66" spans="1:15" s="199" customFormat="1" ht="30" x14ac:dyDescent="0.25">
      <c r="A66" s="194"/>
      <c r="B66" s="195" t="s">
        <v>43</v>
      </c>
      <c r="C66" s="195" t="s">
        <v>44</v>
      </c>
      <c r="D66" s="201"/>
      <c r="E66" s="201"/>
      <c r="F66" s="201"/>
      <c r="G66" s="202"/>
      <c r="H66" s="202"/>
      <c r="I66" s="197"/>
      <c r="J66" s="197"/>
      <c r="K66" s="197"/>
      <c r="L66" s="198"/>
      <c r="M66" s="198"/>
      <c r="N66" s="198"/>
    </row>
    <row r="67" spans="1:15" s="57" customFormat="1" ht="30" x14ac:dyDescent="0.25">
      <c r="A67" s="93" t="s">
        <v>171</v>
      </c>
      <c r="B67" s="94" t="s">
        <v>180</v>
      </c>
      <c r="C67" s="95" t="s">
        <v>44</v>
      </c>
      <c r="D67" s="96">
        <v>100</v>
      </c>
      <c r="E67" s="96">
        <f t="shared" ref="E67:E71" si="41">ROUND(D67*$B$8*$B$9,2)</f>
        <v>88.52</v>
      </c>
      <c r="F67" s="96">
        <v>100</v>
      </c>
      <c r="G67" s="97">
        <f t="shared" ref="G67:G71" si="42">IFERROR(ROUND((F67/E67)-1,3),0)</f>
        <v>0.13</v>
      </c>
      <c r="H67" s="97">
        <f t="shared" ref="H67:H71" si="43">ROUND(IFERROR((F67/D67)-1,0),3)</f>
        <v>0</v>
      </c>
      <c r="I67" s="234">
        <v>100</v>
      </c>
      <c r="J67" s="234">
        <v>10</v>
      </c>
      <c r="K67" s="234">
        <v>5</v>
      </c>
      <c r="L67" s="98">
        <f t="shared" ref="L67:M71" si="44">IFERROR(ROUND(((E67*$I67)+(E67*$J67*0.8)+(E67*$K67*0.9)),2),0)</f>
        <v>9958.5</v>
      </c>
      <c r="M67" s="98">
        <f t="shared" si="44"/>
        <v>11250</v>
      </c>
      <c r="N67" s="98">
        <f t="shared" ref="N67:N71" si="45">ROUND(M67-L67,2)</f>
        <v>1291.5</v>
      </c>
    </row>
    <row r="68" spans="1:15" s="57" customFormat="1" x14ac:dyDescent="0.25">
      <c r="A68" s="93"/>
      <c r="B68" s="93"/>
      <c r="C68" s="95"/>
      <c r="D68" s="233"/>
      <c r="E68" s="96">
        <f t="shared" si="41"/>
        <v>0</v>
      </c>
      <c r="F68" s="233"/>
      <c r="G68" s="97">
        <f t="shared" si="42"/>
        <v>0</v>
      </c>
      <c r="H68" s="97">
        <f t="shared" si="43"/>
        <v>0</v>
      </c>
      <c r="I68" s="234"/>
      <c r="J68" s="234"/>
      <c r="K68" s="234"/>
      <c r="L68" s="98">
        <f t="shared" si="44"/>
        <v>0</v>
      </c>
      <c r="M68" s="98">
        <f t="shared" si="44"/>
        <v>0</v>
      </c>
      <c r="N68" s="98">
        <f t="shared" si="45"/>
        <v>0</v>
      </c>
    </row>
    <row r="69" spans="1:15" s="57" customFormat="1" x14ac:dyDescent="0.25">
      <c r="A69" s="93"/>
      <c r="B69" s="93"/>
      <c r="C69" s="95"/>
      <c r="D69" s="233"/>
      <c r="E69" s="96">
        <f t="shared" si="41"/>
        <v>0</v>
      </c>
      <c r="F69" s="233"/>
      <c r="G69" s="97">
        <f t="shared" si="42"/>
        <v>0</v>
      </c>
      <c r="H69" s="97">
        <f t="shared" si="43"/>
        <v>0</v>
      </c>
      <c r="I69" s="234"/>
      <c r="J69" s="234"/>
      <c r="K69" s="234"/>
      <c r="L69" s="98">
        <f t="shared" si="44"/>
        <v>0</v>
      </c>
      <c r="M69" s="98">
        <f t="shared" si="44"/>
        <v>0</v>
      </c>
      <c r="N69" s="98">
        <f t="shared" si="45"/>
        <v>0</v>
      </c>
    </row>
    <row r="70" spans="1:15" s="57" customFormat="1" x14ac:dyDescent="0.25">
      <c r="A70" s="93"/>
      <c r="B70" s="93"/>
      <c r="C70" s="95"/>
      <c r="D70" s="233"/>
      <c r="E70" s="96">
        <f t="shared" si="41"/>
        <v>0</v>
      </c>
      <c r="F70" s="233"/>
      <c r="G70" s="97">
        <f t="shared" si="42"/>
        <v>0</v>
      </c>
      <c r="H70" s="97">
        <f t="shared" si="43"/>
        <v>0</v>
      </c>
      <c r="I70" s="234"/>
      <c r="J70" s="234"/>
      <c r="K70" s="234"/>
      <c r="L70" s="98">
        <f t="shared" si="44"/>
        <v>0</v>
      </c>
      <c r="M70" s="98">
        <f t="shared" si="44"/>
        <v>0</v>
      </c>
      <c r="N70" s="98">
        <f t="shared" si="45"/>
        <v>0</v>
      </c>
    </row>
    <row r="71" spans="1:15" s="57" customFormat="1" x14ac:dyDescent="0.25">
      <c r="A71" s="93"/>
      <c r="B71" s="93"/>
      <c r="C71" s="95"/>
      <c r="D71" s="233"/>
      <c r="E71" s="96">
        <f t="shared" si="41"/>
        <v>0</v>
      </c>
      <c r="F71" s="233"/>
      <c r="G71" s="97">
        <f t="shared" si="42"/>
        <v>0</v>
      </c>
      <c r="H71" s="97">
        <f t="shared" si="43"/>
        <v>0</v>
      </c>
      <c r="I71" s="234"/>
      <c r="J71" s="234"/>
      <c r="K71" s="234"/>
      <c r="L71" s="98">
        <f t="shared" si="44"/>
        <v>0</v>
      </c>
      <c r="M71" s="98">
        <f t="shared" si="44"/>
        <v>0</v>
      </c>
      <c r="N71" s="98">
        <f t="shared" si="45"/>
        <v>0</v>
      </c>
    </row>
    <row r="72" spans="1:15" s="199" customFormat="1" ht="30" x14ac:dyDescent="0.25">
      <c r="A72" s="194"/>
      <c r="B72" s="195" t="s">
        <v>52</v>
      </c>
      <c r="C72" s="195" t="s">
        <v>53</v>
      </c>
      <c r="D72" s="201"/>
      <c r="E72" s="201"/>
      <c r="F72" s="201"/>
      <c r="G72" s="202"/>
      <c r="H72" s="202"/>
      <c r="I72" s="197"/>
      <c r="J72" s="197"/>
      <c r="K72" s="197"/>
      <c r="L72" s="198"/>
      <c r="M72" s="198"/>
      <c r="N72" s="198"/>
    </row>
    <row r="73" spans="1:15" s="57" customFormat="1" x14ac:dyDescent="0.25">
      <c r="A73" s="93" t="s">
        <v>171</v>
      </c>
      <c r="B73" s="93" t="s">
        <v>181</v>
      </c>
      <c r="C73" s="95" t="s">
        <v>53</v>
      </c>
      <c r="D73" s="233">
        <v>100</v>
      </c>
      <c r="E73" s="96">
        <f t="shared" ref="E73:E77" si="46">ROUND(D73*$B$8*$B$9,2)</f>
        <v>88.52</v>
      </c>
      <c r="F73" s="233">
        <v>100</v>
      </c>
      <c r="G73" s="97">
        <f t="shared" ref="G73:G77" si="47">IFERROR(ROUND((F73/E73)-1,3),0)</f>
        <v>0.13</v>
      </c>
      <c r="H73" s="97">
        <f t="shared" ref="H73:H77" si="48">ROUND(IFERROR((F73/D73)-1,0),3)</f>
        <v>0</v>
      </c>
      <c r="I73" s="234">
        <v>100</v>
      </c>
      <c r="J73" s="234">
        <v>10</v>
      </c>
      <c r="K73" s="234">
        <v>5</v>
      </c>
      <c r="L73" s="98">
        <f t="shared" ref="L73:M77" si="49">IFERROR(ROUND(((E73*$I73)+(E73*$J73*0.8)+(E73*$K73*0.9)),2),0)</f>
        <v>9958.5</v>
      </c>
      <c r="M73" s="98">
        <f t="shared" si="49"/>
        <v>11250</v>
      </c>
      <c r="N73" s="98">
        <f t="shared" ref="N73:N77" si="50">ROUND(M73-L73,2)</f>
        <v>1291.5</v>
      </c>
    </row>
    <row r="74" spans="1:15" s="57" customFormat="1" x14ac:dyDescent="0.25">
      <c r="A74" s="93"/>
      <c r="B74" s="93"/>
      <c r="C74" s="95"/>
      <c r="D74" s="233"/>
      <c r="E74" s="96">
        <f t="shared" si="46"/>
        <v>0</v>
      </c>
      <c r="F74" s="233"/>
      <c r="G74" s="97">
        <f t="shared" si="47"/>
        <v>0</v>
      </c>
      <c r="H74" s="97">
        <f t="shared" si="48"/>
        <v>0</v>
      </c>
      <c r="I74" s="234"/>
      <c r="J74" s="234"/>
      <c r="K74" s="234"/>
      <c r="L74" s="98">
        <f t="shared" si="49"/>
        <v>0</v>
      </c>
      <c r="M74" s="98">
        <f t="shared" si="49"/>
        <v>0</v>
      </c>
      <c r="N74" s="98">
        <f t="shared" si="50"/>
        <v>0</v>
      </c>
    </row>
    <row r="75" spans="1:15" s="57" customFormat="1" x14ac:dyDescent="0.25">
      <c r="A75" s="93"/>
      <c r="B75" s="93"/>
      <c r="C75" s="95"/>
      <c r="D75" s="233"/>
      <c r="E75" s="96">
        <f t="shared" si="46"/>
        <v>0</v>
      </c>
      <c r="F75" s="233"/>
      <c r="G75" s="97">
        <f t="shared" si="47"/>
        <v>0</v>
      </c>
      <c r="H75" s="97">
        <f t="shared" si="48"/>
        <v>0</v>
      </c>
      <c r="I75" s="234"/>
      <c r="J75" s="234"/>
      <c r="K75" s="234"/>
      <c r="L75" s="98">
        <f t="shared" si="49"/>
        <v>0</v>
      </c>
      <c r="M75" s="98">
        <f t="shared" si="49"/>
        <v>0</v>
      </c>
      <c r="N75" s="98">
        <f t="shared" si="50"/>
        <v>0</v>
      </c>
    </row>
    <row r="76" spans="1:15" s="57" customFormat="1" x14ac:dyDescent="0.25">
      <c r="A76" s="93"/>
      <c r="B76" s="93"/>
      <c r="C76" s="95"/>
      <c r="D76" s="233"/>
      <c r="E76" s="96">
        <f t="shared" si="46"/>
        <v>0</v>
      </c>
      <c r="F76" s="233"/>
      <c r="G76" s="97">
        <f t="shared" si="47"/>
        <v>0</v>
      </c>
      <c r="H76" s="97">
        <f t="shared" si="48"/>
        <v>0</v>
      </c>
      <c r="I76" s="234"/>
      <c r="J76" s="234"/>
      <c r="K76" s="234"/>
      <c r="L76" s="98">
        <f t="shared" si="49"/>
        <v>0</v>
      </c>
      <c r="M76" s="98">
        <f t="shared" si="49"/>
        <v>0</v>
      </c>
      <c r="N76" s="98">
        <f t="shared" si="50"/>
        <v>0</v>
      </c>
    </row>
    <row r="77" spans="1:15" s="57" customFormat="1" x14ac:dyDescent="0.25">
      <c r="A77" s="93"/>
      <c r="B77" s="93"/>
      <c r="C77" s="95"/>
      <c r="D77" s="233"/>
      <c r="E77" s="96">
        <f t="shared" si="46"/>
        <v>0</v>
      </c>
      <c r="F77" s="233"/>
      <c r="G77" s="97">
        <f t="shared" si="47"/>
        <v>0</v>
      </c>
      <c r="H77" s="97">
        <f t="shared" si="48"/>
        <v>0</v>
      </c>
      <c r="I77" s="234"/>
      <c r="J77" s="234"/>
      <c r="K77" s="234"/>
      <c r="L77" s="98">
        <f t="shared" si="49"/>
        <v>0</v>
      </c>
      <c r="M77" s="98">
        <f t="shared" si="49"/>
        <v>0</v>
      </c>
      <c r="N77" s="98">
        <f t="shared" si="50"/>
        <v>0</v>
      </c>
    </row>
    <row r="78" spans="1:15" s="57" customFormat="1" x14ac:dyDescent="0.25">
      <c r="A78" s="146"/>
      <c r="C78" s="80"/>
      <c r="D78" s="147"/>
      <c r="E78" s="147"/>
      <c r="F78" s="147"/>
      <c r="G78" s="148"/>
      <c r="H78" s="148"/>
      <c r="I78" s="149"/>
      <c r="J78" s="149"/>
      <c r="K78" s="149"/>
      <c r="L78" s="150"/>
      <c r="M78" s="150"/>
      <c r="N78" s="150"/>
    </row>
    <row r="79" spans="1:15" s="57" customFormat="1" x14ac:dyDescent="0.25">
      <c r="A79" s="146"/>
      <c r="C79" s="80"/>
      <c r="D79" s="147"/>
      <c r="E79" s="147"/>
      <c r="F79" s="147"/>
      <c r="G79" s="148"/>
      <c r="H79" s="148"/>
      <c r="I79" s="149"/>
      <c r="J79" s="149"/>
      <c r="K79" s="149"/>
      <c r="L79" s="150"/>
      <c r="M79" s="150"/>
      <c r="N79" s="150"/>
    </row>
    <row r="80" spans="1:15" ht="15.75" thickBot="1" x14ac:dyDescent="0.3">
      <c r="M80" s="72"/>
      <c r="N80" s="72"/>
      <c r="O80" s="72"/>
    </row>
    <row r="81" spans="1:15" ht="14.45" customHeight="1" x14ac:dyDescent="0.25">
      <c r="A81" s="347" t="s">
        <v>15</v>
      </c>
      <c r="B81" s="348"/>
      <c r="C81" s="348"/>
      <c r="D81" s="348"/>
      <c r="E81" s="348"/>
      <c r="F81" s="348"/>
      <c r="G81" s="348"/>
      <c r="H81" s="348"/>
      <c r="I81" s="348"/>
      <c r="J81" s="348"/>
      <c r="K81" s="348"/>
      <c r="L81" s="349"/>
      <c r="M81" s="70"/>
      <c r="N81" s="70"/>
      <c r="O81" s="70"/>
    </row>
    <row r="82" spans="1:15" ht="14.45" customHeight="1" thickBot="1" x14ac:dyDescent="0.3">
      <c r="A82" s="350"/>
      <c r="B82" s="351"/>
      <c r="C82" s="351"/>
      <c r="D82" s="351"/>
      <c r="E82" s="351"/>
      <c r="F82" s="351"/>
      <c r="G82" s="351"/>
      <c r="H82" s="351"/>
      <c r="I82" s="351"/>
      <c r="J82" s="351"/>
      <c r="K82" s="351"/>
      <c r="L82" s="352"/>
      <c r="M82" s="70"/>
      <c r="N82" s="70"/>
      <c r="O82" s="70"/>
    </row>
    <row r="83" spans="1:15" s="73" customFormat="1" ht="14.45" customHeight="1" x14ac:dyDescent="0.2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1:15" ht="15.75" x14ac:dyDescent="0.25">
      <c r="D84" s="101"/>
      <c r="E84" s="101"/>
      <c r="F84" s="101"/>
      <c r="G84" s="101"/>
      <c r="H84" s="101"/>
      <c r="I84" s="81"/>
      <c r="J84" s="346" t="s">
        <v>12</v>
      </c>
      <c r="K84" s="346"/>
      <c r="L84" s="346"/>
      <c r="M84" s="83"/>
    </row>
    <row r="85" spans="1:15" ht="125.25" customHeight="1" x14ac:dyDescent="0.25">
      <c r="A85" s="84" t="s">
        <v>18</v>
      </c>
      <c r="B85" s="84" t="s">
        <v>14</v>
      </c>
      <c r="C85" s="85" t="s">
        <v>1</v>
      </c>
      <c r="D85" s="291" t="s">
        <v>140</v>
      </c>
      <c r="E85" s="291" t="s">
        <v>135</v>
      </c>
      <c r="F85" s="291" t="s">
        <v>136</v>
      </c>
      <c r="G85" s="291" t="s">
        <v>137</v>
      </c>
      <c r="H85" s="291" t="s">
        <v>63</v>
      </c>
      <c r="I85" s="294" t="s">
        <v>141</v>
      </c>
      <c r="J85" s="293" t="s">
        <v>138</v>
      </c>
      <c r="K85" s="293" t="s">
        <v>22</v>
      </c>
      <c r="L85" s="291" t="s">
        <v>142</v>
      </c>
      <c r="M85" s="59"/>
    </row>
    <row r="86" spans="1:15" x14ac:dyDescent="0.25">
      <c r="A86" s="102"/>
      <c r="B86" s="103"/>
      <c r="C86" s="104" t="str">
        <f>"Col "&amp;COLUMN(C86)+36</f>
        <v>Col 39</v>
      </c>
      <c r="D86" s="104" t="str">
        <f t="shared" ref="D86:L86" si="51">"Col "&amp;COLUMN(D86)+36</f>
        <v>Col 40</v>
      </c>
      <c r="E86" s="104" t="str">
        <f t="shared" si="51"/>
        <v>Col 41</v>
      </c>
      <c r="F86" s="104" t="str">
        <f t="shared" si="51"/>
        <v>Col 42</v>
      </c>
      <c r="G86" s="104" t="str">
        <f t="shared" si="51"/>
        <v>Col 43</v>
      </c>
      <c r="H86" s="104" t="str">
        <f t="shared" si="51"/>
        <v>Col 44</v>
      </c>
      <c r="I86" s="104" t="str">
        <f t="shared" si="51"/>
        <v>Col 45</v>
      </c>
      <c r="J86" s="104" t="str">
        <f t="shared" si="51"/>
        <v>Col 46</v>
      </c>
      <c r="K86" s="104" t="str">
        <f t="shared" si="51"/>
        <v>Col 47</v>
      </c>
      <c r="L86" s="104" t="str">
        <f t="shared" si="51"/>
        <v>Col 48</v>
      </c>
      <c r="M86" s="59"/>
    </row>
    <row r="87" spans="1:15" ht="159.75" customHeight="1" x14ac:dyDescent="0.25">
      <c r="A87" s="84" t="s">
        <v>2</v>
      </c>
      <c r="B87" s="84" t="s">
        <v>2</v>
      </c>
      <c r="C87" s="105" t="s">
        <v>2</v>
      </c>
      <c r="D87" s="86" t="s">
        <v>2</v>
      </c>
      <c r="E87" s="299" t="str">
        <f>D86&amp;" X Category Relationship Unfreeze Factor X Net Contributor or Net Recipient Factor"</f>
        <v>Col 40 X Category Relationship Unfreeze Factor X Net Contributor or Net Recipient Factor</v>
      </c>
      <c r="F87" s="86" t="s">
        <v>2</v>
      </c>
      <c r="G87" s="86" t="str">
        <f>"("&amp;F86&amp;" / "&amp;E86&amp;") - 1"</f>
        <v>(Col 42 / Col 41) - 1</v>
      </c>
      <c r="H87" s="86" t="str">
        <f>"("&amp;F86&amp;" / "&amp;D86&amp;") - 1"</f>
        <v>(Col 42 / Col 40) - 1</v>
      </c>
      <c r="I87" s="86" t="s">
        <v>2</v>
      </c>
      <c r="J87" s="106" t="str">
        <f>E86&amp;" X "&amp;I86</f>
        <v>Col 41 X Col 45</v>
      </c>
      <c r="K87" s="106" t="str">
        <f>F86&amp;" X "&amp;I86</f>
        <v>Col 42 X Col 45</v>
      </c>
      <c r="L87" s="107" t="str">
        <f>K86&amp;" - "&amp;J86</f>
        <v>Col 47 - Col 46</v>
      </c>
      <c r="M87" s="57"/>
    </row>
    <row r="88" spans="1:15" s="207" customFormat="1" ht="30" customHeight="1" x14ac:dyDescent="0.25">
      <c r="A88" s="194"/>
      <c r="B88" s="195" t="s">
        <v>33</v>
      </c>
      <c r="C88" s="195" t="s">
        <v>27</v>
      </c>
      <c r="D88" s="203"/>
      <c r="E88" s="203"/>
      <c r="F88" s="203"/>
      <c r="G88" s="203"/>
      <c r="H88" s="203"/>
      <c r="I88" s="204"/>
      <c r="J88" s="205"/>
      <c r="K88" s="205"/>
      <c r="L88" s="205"/>
      <c r="M88" s="206"/>
    </row>
    <row r="89" spans="1:15" s="73" customFormat="1" x14ac:dyDescent="0.25">
      <c r="A89" s="93" t="s">
        <v>171</v>
      </c>
      <c r="B89" s="93" t="s">
        <v>182</v>
      </c>
      <c r="C89" s="95" t="s">
        <v>27</v>
      </c>
      <c r="D89" s="190">
        <v>100</v>
      </c>
      <c r="E89" s="96">
        <f t="shared" ref="E89:E93" si="52">ROUND(D89*$B$8*$B$9,2)</f>
        <v>88.52</v>
      </c>
      <c r="F89" s="190">
        <v>100</v>
      </c>
      <c r="G89" s="97">
        <f>IFERROR(ROUND((F89/E89)-1,3),0)</f>
        <v>0.13</v>
      </c>
      <c r="H89" s="97">
        <f>IFERROR(ROUND((F89/D89)-1,3),0)</f>
        <v>0</v>
      </c>
      <c r="I89" s="200">
        <v>100</v>
      </c>
      <c r="J89" s="108">
        <f>ROUND(E89*$I89,2)</f>
        <v>8852</v>
      </c>
      <c r="K89" s="108">
        <f>ROUND(F89*$I89,2)</f>
        <v>10000</v>
      </c>
      <c r="L89" s="108">
        <f>ROUND(K89-J89,2)</f>
        <v>1148</v>
      </c>
    </row>
    <row r="90" spans="1:15" s="73" customFormat="1" x14ac:dyDescent="0.25">
      <c r="A90" s="93"/>
      <c r="B90" s="93"/>
      <c r="C90" s="95"/>
      <c r="D90" s="190"/>
      <c r="E90" s="96">
        <f t="shared" si="52"/>
        <v>0</v>
      </c>
      <c r="F90" s="190"/>
      <c r="G90" s="97">
        <f>IFERROR(ROUND((F90/E90)-1,3),0)</f>
        <v>0</v>
      </c>
      <c r="H90" s="97">
        <f>IFERROR(ROUND((F90/D90)-1,3),0)</f>
        <v>0</v>
      </c>
      <c r="I90" s="200"/>
      <c r="J90" s="108">
        <f>ROUND(E90*$I90,2)</f>
        <v>0</v>
      </c>
      <c r="K90" s="108">
        <f>ROUND(F90*$I90,2)</f>
        <v>0</v>
      </c>
      <c r="L90" s="108">
        <f>ROUND(K90-J90,2)</f>
        <v>0</v>
      </c>
    </row>
    <row r="91" spans="1:15" x14ac:dyDescent="0.25">
      <c r="A91" s="93"/>
      <c r="B91" s="93"/>
      <c r="C91" s="95"/>
      <c r="D91" s="190"/>
      <c r="E91" s="96">
        <f t="shared" si="52"/>
        <v>0</v>
      </c>
      <c r="F91" s="190"/>
      <c r="G91" s="97">
        <f t="shared" ref="G91:G93" si="53">IFERROR(ROUND((F91/E91)-1,3),0)</f>
        <v>0</v>
      </c>
      <c r="H91" s="97">
        <f t="shared" ref="H91:H93" si="54">IFERROR(ROUND((F91/D91)-1,3),0)</f>
        <v>0</v>
      </c>
      <c r="I91" s="200"/>
      <c r="J91" s="108">
        <f t="shared" ref="J91:K93" si="55">ROUND(E91*$I91,2)</f>
        <v>0</v>
      </c>
      <c r="K91" s="108">
        <f t="shared" si="55"/>
        <v>0</v>
      </c>
      <c r="L91" s="108">
        <f t="shared" ref="L91:L93" si="56">ROUND(K91-J91,2)</f>
        <v>0</v>
      </c>
      <c r="M91" s="99"/>
    </row>
    <row r="92" spans="1:15" x14ac:dyDescent="0.25">
      <c r="A92" s="93"/>
      <c r="B92" s="93"/>
      <c r="C92" s="95"/>
      <c r="D92" s="190"/>
      <c r="E92" s="96">
        <f t="shared" si="52"/>
        <v>0</v>
      </c>
      <c r="F92" s="190"/>
      <c r="G92" s="97">
        <f t="shared" si="53"/>
        <v>0</v>
      </c>
      <c r="H92" s="97">
        <f t="shared" si="54"/>
        <v>0</v>
      </c>
      <c r="I92" s="200"/>
      <c r="J92" s="108">
        <f t="shared" si="55"/>
        <v>0</v>
      </c>
      <c r="K92" s="108">
        <f t="shared" si="55"/>
        <v>0</v>
      </c>
      <c r="L92" s="108">
        <f t="shared" si="56"/>
        <v>0</v>
      </c>
      <c r="M92" s="99"/>
    </row>
    <row r="93" spans="1:15" x14ac:dyDescent="0.25">
      <c r="A93" s="93"/>
      <c r="B93" s="93"/>
      <c r="C93" s="95"/>
      <c r="D93" s="190"/>
      <c r="E93" s="96">
        <f t="shared" si="52"/>
        <v>0</v>
      </c>
      <c r="F93" s="190"/>
      <c r="G93" s="97">
        <f t="shared" si="53"/>
        <v>0</v>
      </c>
      <c r="H93" s="97">
        <f t="shared" si="54"/>
        <v>0</v>
      </c>
      <c r="I93" s="200"/>
      <c r="J93" s="108">
        <f t="shared" si="55"/>
        <v>0</v>
      </c>
      <c r="K93" s="108">
        <f t="shared" si="55"/>
        <v>0</v>
      </c>
      <c r="L93" s="108">
        <f t="shared" si="56"/>
        <v>0</v>
      </c>
      <c r="M93" s="99"/>
    </row>
    <row r="94" spans="1:15" s="207" customFormat="1" ht="30" customHeight="1" x14ac:dyDescent="0.25">
      <c r="A94" s="194"/>
      <c r="B94" s="195" t="s">
        <v>32</v>
      </c>
      <c r="C94" s="195" t="s">
        <v>28</v>
      </c>
      <c r="D94" s="208"/>
      <c r="E94" s="208"/>
      <c r="F94" s="208"/>
      <c r="G94" s="208"/>
      <c r="H94" s="208"/>
      <c r="I94" s="209"/>
      <c r="J94" s="210"/>
      <c r="K94" s="210"/>
      <c r="L94" s="211"/>
    </row>
    <row r="95" spans="1:15" x14ac:dyDescent="0.25">
      <c r="A95" s="93" t="s">
        <v>171</v>
      </c>
      <c r="B95" s="94" t="s">
        <v>173</v>
      </c>
      <c r="C95" s="95" t="s">
        <v>28</v>
      </c>
      <c r="D95" s="96">
        <v>100</v>
      </c>
      <c r="E95" s="96">
        <f t="shared" ref="E95:E99" si="57">ROUND(D95*$B$8*$B$9,2)</f>
        <v>88.52</v>
      </c>
      <c r="F95" s="96">
        <v>100</v>
      </c>
      <c r="G95" s="97">
        <f>IFERROR(ROUND((F95/E95)-1,3),0)</f>
        <v>0.13</v>
      </c>
      <c r="H95" s="97">
        <f>IFERROR(ROUND((F95/D95)-1,3),0)</f>
        <v>0</v>
      </c>
      <c r="I95" s="200">
        <v>100</v>
      </c>
      <c r="J95" s="108">
        <f>ROUND(E95*$I95,2)</f>
        <v>8852</v>
      </c>
      <c r="K95" s="108">
        <f>ROUND(F95*$I95,2)</f>
        <v>10000</v>
      </c>
      <c r="L95" s="108">
        <f>ROUND(K95-J95,2)</f>
        <v>1148</v>
      </c>
    </row>
    <row r="96" spans="1:15" s="73" customFormat="1" x14ac:dyDescent="0.25">
      <c r="A96" s="93"/>
      <c r="B96" s="93"/>
      <c r="C96" s="95"/>
      <c r="D96" s="190"/>
      <c r="E96" s="96">
        <f t="shared" si="57"/>
        <v>0</v>
      </c>
      <c r="F96" s="190"/>
      <c r="G96" s="97">
        <f>IFERROR(ROUND((F96/E96)-1,3),0)</f>
        <v>0</v>
      </c>
      <c r="H96" s="97">
        <f>IFERROR(ROUND((F96/D96)-1,3),0)</f>
        <v>0</v>
      </c>
      <c r="I96" s="200"/>
      <c r="J96" s="108">
        <f>ROUND(E96*$I96,2)</f>
        <v>0</v>
      </c>
      <c r="K96" s="108">
        <f>ROUND(F96*$I96,2)</f>
        <v>0</v>
      </c>
      <c r="L96" s="108">
        <f>ROUND(K96-J96,2)</f>
        <v>0</v>
      </c>
    </row>
    <row r="97" spans="1:13" x14ac:dyDescent="0.25">
      <c r="A97" s="93"/>
      <c r="B97" s="93"/>
      <c r="C97" s="95"/>
      <c r="D97" s="190"/>
      <c r="E97" s="96">
        <f t="shared" si="57"/>
        <v>0</v>
      </c>
      <c r="F97" s="190"/>
      <c r="G97" s="97">
        <f t="shared" ref="G97:G99" si="58">IFERROR(ROUND((F97/E97)-1,3),0)</f>
        <v>0</v>
      </c>
      <c r="H97" s="97">
        <f t="shared" ref="H97:H99" si="59">IFERROR(ROUND((F97/D97)-1,3),0)</f>
        <v>0</v>
      </c>
      <c r="I97" s="200"/>
      <c r="J97" s="108">
        <f t="shared" ref="J97:K99" si="60">ROUND(E97*$I97,2)</f>
        <v>0</v>
      </c>
      <c r="K97" s="108">
        <f t="shared" si="60"/>
        <v>0</v>
      </c>
      <c r="L97" s="108">
        <f t="shared" ref="L97:L99" si="61">ROUND(K97-J97,2)</f>
        <v>0</v>
      </c>
      <c r="M97" s="99"/>
    </row>
    <row r="98" spans="1:13" x14ac:dyDescent="0.25">
      <c r="A98" s="93"/>
      <c r="B98" s="93"/>
      <c r="C98" s="95"/>
      <c r="D98" s="190"/>
      <c r="E98" s="96">
        <f t="shared" si="57"/>
        <v>0</v>
      </c>
      <c r="F98" s="190"/>
      <c r="G98" s="97">
        <f t="shared" si="58"/>
        <v>0</v>
      </c>
      <c r="H98" s="97">
        <f t="shared" si="59"/>
        <v>0</v>
      </c>
      <c r="I98" s="200"/>
      <c r="J98" s="108">
        <f t="shared" si="60"/>
        <v>0</v>
      </c>
      <c r="K98" s="108">
        <f t="shared" si="60"/>
        <v>0</v>
      </c>
      <c r="L98" s="108">
        <f t="shared" si="61"/>
        <v>0</v>
      </c>
      <c r="M98" s="99"/>
    </row>
    <row r="99" spans="1:13" x14ac:dyDescent="0.25">
      <c r="A99" s="93"/>
      <c r="B99" s="93"/>
      <c r="C99" s="95"/>
      <c r="D99" s="190"/>
      <c r="E99" s="96">
        <f t="shared" si="57"/>
        <v>0</v>
      </c>
      <c r="F99" s="190"/>
      <c r="G99" s="97">
        <f t="shared" si="58"/>
        <v>0</v>
      </c>
      <c r="H99" s="97">
        <f t="shared" si="59"/>
        <v>0</v>
      </c>
      <c r="I99" s="200"/>
      <c r="J99" s="108">
        <f t="shared" si="60"/>
        <v>0</v>
      </c>
      <c r="K99" s="108">
        <f t="shared" si="60"/>
        <v>0</v>
      </c>
      <c r="L99" s="108">
        <f t="shared" si="61"/>
        <v>0</v>
      </c>
      <c r="M99" s="99"/>
    </row>
    <row r="100" spans="1:13" s="207" customFormat="1" ht="32.25" customHeight="1" x14ac:dyDescent="0.25">
      <c r="A100" s="194"/>
      <c r="B100" s="195" t="s">
        <v>31</v>
      </c>
      <c r="C100" s="195" t="s">
        <v>29</v>
      </c>
      <c r="D100" s="208"/>
      <c r="E100" s="208"/>
      <c r="F100" s="208"/>
      <c r="G100" s="208"/>
      <c r="H100" s="208"/>
      <c r="I100" s="209"/>
      <c r="J100" s="210"/>
      <c r="K100" s="210"/>
      <c r="L100" s="211"/>
    </row>
    <row r="101" spans="1:13" x14ac:dyDescent="0.25">
      <c r="A101" s="93" t="s">
        <v>171</v>
      </c>
      <c r="B101" s="93" t="s">
        <v>174</v>
      </c>
      <c r="C101" s="95" t="s">
        <v>29</v>
      </c>
      <c r="D101" s="190">
        <v>100</v>
      </c>
      <c r="E101" s="96">
        <f t="shared" ref="E101:E105" si="62">ROUND(D101*$B$8*$B$9,2)</f>
        <v>88.52</v>
      </c>
      <c r="F101" s="190">
        <v>100</v>
      </c>
      <c r="G101" s="97">
        <f t="shared" ref="G101" si="63">IFERROR(ROUND((F101/E101)-1,3),0)</f>
        <v>0.13</v>
      </c>
      <c r="H101" s="97">
        <f t="shared" ref="H101" si="64">IFERROR(ROUND((F101/D101)-1,3),0)</f>
        <v>0</v>
      </c>
      <c r="I101" s="200">
        <v>100</v>
      </c>
      <c r="J101" s="108">
        <f t="shared" ref="J101:K101" si="65">ROUND(E101*$I101,2)</f>
        <v>8852</v>
      </c>
      <c r="K101" s="108">
        <f t="shared" si="65"/>
        <v>10000</v>
      </c>
      <c r="L101" s="108">
        <f t="shared" ref="L101" si="66">ROUND(K101-J101,2)</f>
        <v>1148</v>
      </c>
    </row>
    <row r="102" spans="1:13" s="73" customFormat="1" x14ac:dyDescent="0.25">
      <c r="A102" s="93"/>
      <c r="B102" s="93"/>
      <c r="C102" s="95"/>
      <c r="D102" s="190"/>
      <c r="E102" s="96">
        <f t="shared" si="62"/>
        <v>0</v>
      </c>
      <c r="F102" s="190"/>
      <c r="G102" s="97">
        <f>IFERROR(ROUND((F102/E102)-1,3),0)</f>
        <v>0</v>
      </c>
      <c r="H102" s="97">
        <f>IFERROR(ROUND((F102/D102)-1,3),0)</f>
        <v>0</v>
      </c>
      <c r="I102" s="200"/>
      <c r="J102" s="108">
        <f>ROUND(E102*$I102,2)</f>
        <v>0</v>
      </c>
      <c r="K102" s="108">
        <f>ROUND(F102*$I102,2)</f>
        <v>0</v>
      </c>
      <c r="L102" s="108">
        <f>ROUND(K102-J102,2)</f>
        <v>0</v>
      </c>
    </row>
    <row r="103" spans="1:13" x14ac:dyDescent="0.25">
      <c r="A103" s="93"/>
      <c r="B103" s="93"/>
      <c r="C103" s="95"/>
      <c r="D103" s="190"/>
      <c r="E103" s="96">
        <f t="shared" si="62"/>
        <v>0</v>
      </c>
      <c r="F103" s="190"/>
      <c r="G103" s="97">
        <f t="shared" ref="G103:G105" si="67">IFERROR(ROUND((F103/E103)-1,3),0)</f>
        <v>0</v>
      </c>
      <c r="H103" s="97">
        <f t="shared" ref="H103:H105" si="68">IFERROR(ROUND((F103/D103)-1,3),0)</f>
        <v>0</v>
      </c>
      <c r="I103" s="200"/>
      <c r="J103" s="108">
        <f t="shared" ref="J103:K105" si="69">ROUND(E103*$I103,2)</f>
        <v>0</v>
      </c>
      <c r="K103" s="108">
        <f t="shared" si="69"/>
        <v>0</v>
      </c>
      <c r="L103" s="108">
        <f t="shared" ref="L103:L105" si="70">ROUND(K103-J103,2)</f>
        <v>0</v>
      </c>
      <c r="M103" s="99"/>
    </row>
    <row r="104" spans="1:13" x14ac:dyDescent="0.25">
      <c r="A104" s="93"/>
      <c r="B104" s="93"/>
      <c r="C104" s="95"/>
      <c r="D104" s="190"/>
      <c r="E104" s="96">
        <f t="shared" si="62"/>
        <v>0</v>
      </c>
      <c r="F104" s="190"/>
      <c r="G104" s="97">
        <f t="shared" si="67"/>
        <v>0</v>
      </c>
      <c r="H104" s="97">
        <f t="shared" si="68"/>
        <v>0</v>
      </c>
      <c r="I104" s="200"/>
      <c r="J104" s="108">
        <f t="shared" si="69"/>
        <v>0</v>
      </c>
      <c r="K104" s="108">
        <f t="shared" si="69"/>
        <v>0</v>
      </c>
      <c r="L104" s="108">
        <f t="shared" si="70"/>
        <v>0</v>
      </c>
      <c r="M104" s="99"/>
    </row>
    <row r="105" spans="1:13" x14ac:dyDescent="0.25">
      <c r="A105" s="93"/>
      <c r="B105" s="93"/>
      <c r="C105" s="95"/>
      <c r="D105" s="190"/>
      <c r="E105" s="96">
        <f t="shared" si="62"/>
        <v>0</v>
      </c>
      <c r="F105" s="190"/>
      <c r="G105" s="97">
        <f t="shared" si="67"/>
        <v>0</v>
      </c>
      <c r="H105" s="97">
        <f t="shared" si="68"/>
        <v>0</v>
      </c>
      <c r="I105" s="200"/>
      <c r="J105" s="108">
        <f t="shared" si="69"/>
        <v>0</v>
      </c>
      <c r="K105" s="108">
        <f t="shared" si="69"/>
        <v>0</v>
      </c>
      <c r="L105" s="108">
        <f t="shared" si="70"/>
        <v>0</v>
      </c>
      <c r="M105" s="99"/>
    </row>
    <row r="106" spans="1:13" s="207" customFormat="1" ht="30" customHeight="1" x14ac:dyDescent="0.25">
      <c r="A106" s="194"/>
      <c r="B106" s="195" t="s">
        <v>30</v>
      </c>
      <c r="C106" s="195" t="s">
        <v>45</v>
      </c>
      <c r="D106" s="208"/>
      <c r="E106" s="208"/>
      <c r="F106" s="208"/>
      <c r="G106" s="208"/>
      <c r="H106" s="208"/>
      <c r="I106" s="209"/>
      <c r="J106" s="210"/>
      <c r="K106" s="210"/>
      <c r="L106" s="211"/>
    </row>
    <row r="107" spans="1:13" x14ac:dyDescent="0.25">
      <c r="A107" s="93" t="s">
        <v>171</v>
      </c>
      <c r="B107" s="93" t="s">
        <v>175</v>
      </c>
      <c r="C107" s="95" t="s">
        <v>45</v>
      </c>
      <c r="D107" s="190">
        <v>100</v>
      </c>
      <c r="E107" s="96">
        <f t="shared" ref="E107:E111" si="71">ROUND(D107*$B$8*$B$9,2)</f>
        <v>88.52</v>
      </c>
      <c r="F107" s="190">
        <v>100</v>
      </c>
      <c r="G107" s="97">
        <f t="shared" ref="G107" si="72">IFERROR(ROUND((F107/E107)-1,3),0)</f>
        <v>0.13</v>
      </c>
      <c r="H107" s="97">
        <f t="shared" ref="H107" si="73">IFERROR(ROUND((F107/D107)-1,3),0)</f>
        <v>0</v>
      </c>
      <c r="I107" s="200">
        <v>100</v>
      </c>
      <c r="J107" s="108">
        <f t="shared" ref="J107:K107" si="74">ROUND(E107*$I107,2)</f>
        <v>8852</v>
      </c>
      <c r="K107" s="108">
        <f t="shared" si="74"/>
        <v>10000</v>
      </c>
      <c r="L107" s="108">
        <f t="shared" ref="L107" si="75">ROUND(K107-J107,2)</f>
        <v>1148</v>
      </c>
    </row>
    <row r="108" spans="1:13" s="73" customFormat="1" x14ac:dyDescent="0.25">
      <c r="A108" s="93"/>
      <c r="B108" s="93"/>
      <c r="C108" s="95"/>
      <c r="D108" s="190"/>
      <c r="E108" s="96">
        <f t="shared" si="71"/>
        <v>0</v>
      </c>
      <c r="F108" s="190"/>
      <c r="G108" s="97">
        <f>IFERROR(ROUND((F108/E108)-1,3),0)</f>
        <v>0</v>
      </c>
      <c r="H108" s="97">
        <f>IFERROR(ROUND((F108/D108)-1,3),0)</f>
        <v>0</v>
      </c>
      <c r="I108" s="200"/>
      <c r="J108" s="108">
        <f>ROUND(E108*$I108,2)</f>
        <v>0</v>
      </c>
      <c r="K108" s="108">
        <f>ROUND(F108*$I108,2)</f>
        <v>0</v>
      </c>
      <c r="L108" s="108">
        <f>ROUND(K108-J108,2)</f>
        <v>0</v>
      </c>
    </row>
    <row r="109" spans="1:13" x14ac:dyDescent="0.25">
      <c r="A109" s="93"/>
      <c r="B109" s="93"/>
      <c r="C109" s="95"/>
      <c r="D109" s="190"/>
      <c r="E109" s="96">
        <f t="shared" si="71"/>
        <v>0</v>
      </c>
      <c r="F109" s="190"/>
      <c r="G109" s="97">
        <f t="shared" ref="G109:G111" si="76">IFERROR(ROUND((F109/E109)-1,3),0)</f>
        <v>0</v>
      </c>
      <c r="H109" s="97">
        <f t="shared" ref="H109:H111" si="77">IFERROR(ROUND((F109/D109)-1,3),0)</f>
        <v>0</v>
      </c>
      <c r="I109" s="200"/>
      <c r="J109" s="108">
        <f t="shared" ref="J109:K111" si="78">ROUND(E109*$I109,2)</f>
        <v>0</v>
      </c>
      <c r="K109" s="108">
        <f t="shared" si="78"/>
        <v>0</v>
      </c>
      <c r="L109" s="108">
        <f t="shared" ref="L109:L111" si="79">ROUND(K109-J109,2)</f>
        <v>0</v>
      </c>
      <c r="M109" s="99"/>
    </row>
    <row r="110" spans="1:13" x14ac:dyDescent="0.25">
      <c r="A110" s="93"/>
      <c r="B110" s="93"/>
      <c r="C110" s="95"/>
      <c r="D110" s="190"/>
      <c r="E110" s="96">
        <f t="shared" si="71"/>
        <v>0</v>
      </c>
      <c r="F110" s="190"/>
      <c r="G110" s="97">
        <f t="shared" si="76"/>
        <v>0</v>
      </c>
      <c r="H110" s="97">
        <f t="shared" si="77"/>
        <v>0</v>
      </c>
      <c r="I110" s="200"/>
      <c r="J110" s="108">
        <f t="shared" si="78"/>
        <v>0</v>
      </c>
      <c r="K110" s="108">
        <f t="shared" si="78"/>
        <v>0</v>
      </c>
      <c r="L110" s="108">
        <f t="shared" si="79"/>
        <v>0</v>
      </c>
      <c r="M110" s="99"/>
    </row>
    <row r="111" spans="1:13" x14ac:dyDescent="0.25">
      <c r="A111" s="93"/>
      <c r="B111" s="93"/>
      <c r="C111" s="95"/>
      <c r="D111" s="190"/>
      <c r="E111" s="96">
        <f t="shared" si="71"/>
        <v>0</v>
      </c>
      <c r="F111" s="190"/>
      <c r="G111" s="97">
        <f t="shared" si="76"/>
        <v>0</v>
      </c>
      <c r="H111" s="97">
        <f t="shared" si="77"/>
        <v>0</v>
      </c>
      <c r="I111" s="200"/>
      <c r="J111" s="108">
        <f t="shared" si="78"/>
        <v>0</v>
      </c>
      <c r="K111" s="108">
        <f t="shared" si="78"/>
        <v>0</v>
      </c>
      <c r="L111" s="108">
        <f t="shared" si="79"/>
        <v>0</v>
      </c>
      <c r="M111" s="99"/>
    </row>
    <row r="112" spans="1:13" s="207" customFormat="1" x14ac:dyDescent="0.25">
      <c r="A112" s="194"/>
      <c r="B112" s="195" t="s">
        <v>34</v>
      </c>
      <c r="C112" s="195" t="s">
        <v>35</v>
      </c>
      <c r="D112" s="208"/>
      <c r="E112" s="208"/>
      <c r="F112" s="208"/>
      <c r="G112" s="208"/>
      <c r="H112" s="208"/>
      <c r="I112" s="209"/>
      <c r="J112" s="210"/>
      <c r="K112" s="210"/>
      <c r="L112" s="211"/>
    </row>
    <row r="113" spans="1:13" x14ac:dyDescent="0.25">
      <c r="A113" s="93" t="s">
        <v>171</v>
      </c>
      <c r="B113" s="93" t="s">
        <v>176</v>
      </c>
      <c r="C113" s="95" t="s">
        <v>35</v>
      </c>
      <c r="D113" s="190">
        <v>100</v>
      </c>
      <c r="E113" s="96">
        <f t="shared" ref="E113:E117" si="80">ROUND(D113*$B$8*$B$9,2)</f>
        <v>88.52</v>
      </c>
      <c r="F113" s="190">
        <v>100</v>
      </c>
      <c r="G113" s="97">
        <f t="shared" ref="G113" si="81">IFERROR(ROUND((F113/E113)-1,3),0)</f>
        <v>0.13</v>
      </c>
      <c r="H113" s="97">
        <f t="shared" ref="H113" si="82">IFERROR(ROUND((F113/D113)-1,3),0)</f>
        <v>0</v>
      </c>
      <c r="I113" s="200">
        <v>100</v>
      </c>
      <c r="J113" s="108">
        <f t="shared" ref="J113:K113" si="83">ROUND(E113*$I113,2)</f>
        <v>8852</v>
      </c>
      <c r="K113" s="108">
        <f t="shared" si="83"/>
        <v>10000</v>
      </c>
      <c r="L113" s="108">
        <f t="shared" ref="L113" si="84">ROUND(K113-J113,2)</f>
        <v>1148</v>
      </c>
    </row>
    <row r="114" spans="1:13" s="73" customFormat="1" x14ac:dyDescent="0.25">
      <c r="A114" s="93"/>
      <c r="B114" s="93"/>
      <c r="C114" s="95"/>
      <c r="D114" s="190"/>
      <c r="E114" s="96">
        <f t="shared" si="80"/>
        <v>0</v>
      </c>
      <c r="F114" s="190"/>
      <c r="G114" s="97">
        <f>IFERROR(ROUND((F114/E114)-1,3),0)</f>
        <v>0</v>
      </c>
      <c r="H114" s="97">
        <f>IFERROR(ROUND((F114/D114)-1,3),0)</f>
        <v>0</v>
      </c>
      <c r="I114" s="200"/>
      <c r="J114" s="108">
        <f>ROUND(E114*$I114,2)</f>
        <v>0</v>
      </c>
      <c r="K114" s="108">
        <f>ROUND(F114*$I114,2)</f>
        <v>0</v>
      </c>
      <c r="L114" s="108">
        <f>ROUND(K114-J114,2)</f>
        <v>0</v>
      </c>
    </row>
    <row r="115" spans="1:13" x14ac:dyDescent="0.25">
      <c r="A115" s="93"/>
      <c r="B115" s="93"/>
      <c r="C115" s="95"/>
      <c r="D115" s="190"/>
      <c r="E115" s="96">
        <f t="shared" si="80"/>
        <v>0</v>
      </c>
      <c r="F115" s="190"/>
      <c r="G115" s="97">
        <f t="shared" ref="G115:G117" si="85">IFERROR(ROUND((F115/E115)-1,3),0)</f>
        <v>0</v>
      </c>
      <c r="H115" s="97">
        <f t="shared" ref="H115:H117" si="86">IFERROR(ROUND((F115/D115)-1,3),0)</f>
        <v>0</v>
      </c>
      <c r="I115" s="200"/>
      <c r="J115" s="108">
        <f t="shared" ref="J115:K117" si="87">ROUND(E115*$I115,2)</f>
        <v>0</v>
      </c>
      <c r="K115" s="108">
        <f t="shared" si="87"/>
        <v>0</v>
      </c>
      <c r="L115" s="108">
        <f t="shared" ref="L115:L117" si="88">ROUND(K115-J115,2)</f>
        <v>0</v>
      </c>
      <c r="M115" s="99"/>
    </row>
    <row r="116" spans="1:13" x14ac:dyDescent="0.25">
      <c r="A116" s="93"/>
      <c r="B116" s="93"/>
      <c r="C116" s="95"/>
      <c r="D116" s="190"/>
      <c r="E116" s="96">
        <f t="shared" si="80"/>
        <v>0</v>
      </c>
      <c r="F116" s="190"/>
      <c r="G116" s="97">
        <f t="shared" si="85"/>
        <v>0</v>
      </c>
      <c r="H116" s="97">
        <f t="shared" si="86"/>
        <v>0</v>
      </c>
      <c r="I116" s="200"/>
      <c r="J116" s="108">
        <f t="shared" si="87"/>
        <v>0</v>
      </c>
      <c r="K116" s="108">
        <f t="shared" si="87"/>
        <v>0</v>
      </c>
      <c r="L116" s="108">
        <f t="shared" si="88"/>
        <v>0</v>
      </c>
      <c r="M116" s="99"/>
    </row>
    <row r="117" spans="1:13" x14ac:dyDescent="0.25">
      <c r="A117" s="93"/>
      <c r="B117" s="93"/>
      <c r="C117" s="95"/>
      <c r="D117" s="190"/>
      <c r="E117" s="96">
        <f t="shared" si="80"/>
        <v>0</v>
      </c>
      <c r="F117" s="190"/>
      <c r="G117" s="97">
        <f t="shared" si="85"/>
        <v>0</v>
      </c>
      <c r="H117" s="97">
        <f t="shared" si="86"/>
        <v>0</v>
      </c>
      <c r="I117" s="200"/>
      <c r="J117" s="108">
        <f t="shared" si="87"/>
        <v>0</v>
      </c>
      <c r="K117" s="108">
        <f t="shared" si="87"/>
        <v>0</v>
      </c>
      <c r="L117" s="108">
        <f t="shared" si="88"/>
        <v>0</v>
      </c>
      <c r="M117" s="99"/>
    </row>
    <row r="118" spans="1:13" s="207" customFormat="1" ht="30" customHeight="1" x14ac:dyDescent="0.25">
      <c r="A118" s="194"/>
      <c r="B118" s="195" t="s">
        <v>36</v>
      </c>
      <c r="C118" s="195" t="s">
        <v>37</v>
      </c>
      <c r="D118" s="208"/>
      <c r="E118" s="208"/>
      <c r="F118" s="208"/>
      <c r="G118" s="208"/>
      <c r="H118" s="208"/>
      <c r="I118" s="209"/>
      <c r="J118" s="210"/>
      <c r="K118" s="210"/>
      <c r="L118" s="211"/>
    </row>
    <row r="119" spans="1:13" x14ac:dyDescent="0.25">
      <c r="A119" s="93" t="s">
        <v>171</v>
      </c>
      <c r="B119" s="93" t="s">
        <v>183</v>
      </c>
      <c r="C119" s="95" t="s">
        <v>37</v>
      </c>
      <c r="D119" s="190">
        <v>100</v>
      </c>
      <c r="E119" s="96">
        <f t="shared" ref="E119:E123" si="89">ROUND(D119*$B$8*$B$9,2)</f>
        <v>88.52</v>
      </c>
      <c r="F119" s="190">
        <v>100</v>
      </c>
      <c r="G119" s="97">
        <f t="shared" ref="G119" si="90">IFERROR(ROUND((F119/E119)-1,3),0)</f>
        <v>0.13</v>
      </c>
      <c r="H119" s="97">
        <f t="shared" ref="H119" si="91">IFERROR(ROUND((F119/D119)-1,3),0)</f>
        <v>0</v>
      </c>
      <c r="I119" s="200">
        <v>100</v>
      </c>
      <c r="J119" s="108">
        <f t="shared" ref="J119:K119" si="92">ROUND(E119*$I119,2)</f>
        <v>8852</v>
      </c>
      <c r="K119" s="108">
        <f t="shared" si="92"/>
        <v>10000</v>
      </c>
      <c r="L119" s="108">
        <f t="shared" ref="L119" si="93">ROUND(K119-J119,2)</f>
        <v>1148</v>
      </c>
    </row>
    <row r="120" spans="1:13" s="73" customFormat="1" x14ac:dyDescent="0.25">
      <c r="A120" s="93"/>
      <c r="B120" s="93"/>
      <c r="C120" s="95"/>
      <c r="D120" s="190"/>
      <c r="E120" s="96">
        <f t="shared" si="89"/>
        <v>0</v>
      </c>
      <c r="F120" s="190"/>
      <c r="G120" s="97">
        <f>IFERROR(ROUND((F120/E120)-1,3),0)</f>
        <v>0</v>
      </c>
      <c r="H120" s="97">
        <f>IFERROR(ROUND((F120/D120)-1,3),0)</f>
        <v>0</v>
      </c>
      <c r="I120" s="200"/>
      <c r="J120" s="108">
        <f>ROUND(E120*$I120,2)</f>
        <v>0</v>
      </c>
      <c r="K120" s="108">
        <f>ROUND(F120*$I120,2)</f>
        <v>0</v>
      </c>
      <c r="L120" s="108">
        <f>ROUND(K120-J120,2)</f>
        <v>0</v>
      </c>
    </row>
    <row r="121" spans="1:13" x14ac:dyDescent="0.25">
      <c r="A121" s="93"/>
      <c r="B121" s="93"/>
      <c r="C121" s="95"/>
      <c r="D121" s="190"/>
      <c r="E121" s="96">
        <f t="shared" si="89"/>
        <v>0</v>
      </c>
      <c r="F121" s="190"/>
      <c r="G121" s="97">
        <f t="shared" ref="G121:G123" si="94">IFERROR(ROUND((F121/E121)-1,3),0)</f>
        <v>0</v>
      </c>
      <c r="H121" s="97">
        <f t="shared" ref="H121:H123" si="95">IFERROR(ROUND((F121/D121)-1,3),0)</f>
        <v>0</v>
      </c>
      <c r="I121" s="200"/>
      <c r="J121" s="108">
        <f t="shared" ref="J121:K123" si="96">ROUND(E121*$I121,2)</f>
        <v>0</v>
      </c>
      <c r="K121" s="108">
        <f t="shared" si="96"/>
        <v>0</v>
      </c>
      <c r="L121" s="108">
        <f t="shared" ref="L121:L123" si="97">ROUND(K121-J121,2)</f>
        <v>0</v>
      </c>
      <c r="M121" s="99"/>
    </row>
    <row r="122" spans="1:13" x14ac:dyDescent="0.25">
      <c r="A122" s="93"/>
      <c r="B122" s="93"/>
      <c r="C122" s="95"/>
      <c r="D122" s="190"/>
      <c r="E122" s="96">
        <f t="shared" si="89"/>
        <v>0</v>
      </c>
      <c r="F122" s="190"/>
      <c r="G122" s="97">
        <f t="shared" si="94"/>
        <v>0</v>
      </c>
      <c r="H122" s="97">
        <f t="shared" si="95"/>
        <v>0</v>
      </c>
      <c r="I122" s="200"/>
      <c r="J122" s="108">
        <f t="shared" si="96"/>
        <v>0</v>
      </c>
      <c r="K122" s="108">
        <f t="shared" si="96"/>
        <v>0</v>
      </c>
      <c r="L122" s="108">
        <f t="shared" si="97"/>
        <v>0</v>
      </c>
      <c r="M122" s="99"/>
    </row>
    <row r="123" spans="1:13" x14ac:dyDescent="0.25">
      <c r="A123" s="93"/>
      <c r="B123" s="93"/>
      <c r="C123" s="95"/>
      <c r="D123" s="190"/>
      <c r="E123" s="96">
        <f t="shared" si="89"/>
        <v>0</v>
      </c>
      <c r="F123" s="190"/>
      <c r="G123" s="97">
        <f t="shared" si="94"/>
        <v>0</v>
      </c>
      <c r="H123" s="97">
        <f t="shared" si="95"/>
        <v>0</v>
      </c>
      <c r="I123" s="200"/>
      <c r="J123" s="108">
        <f t="shared" si="96"/>
        <v>0</v>
      </c>
      <c r="K123" s="108">
        <f t="shared" si="96"/>
        <v>0</v>
      </c>
      <c r="L123" s="108">
        <f t="shared" si="97"/>
        <v>0</v>
      </c>
      <c r="M123" s="99"/>
    </row>
    <row r="124" spans="1:13" s="207" customFormat="1" ht="30.75" customHeight="1" x14ac:dyDescent="0.25">
      <c r="A124" s="194"/>
      <c r="B124" s="195" t="s">
        <v>38</v>
      </c>
      <c r="C124" s="195" t="s">
        <v>39</v>
      </c>
      <c r="D124" s="208"/>
      <c r="E124" s="208"/>
      <c r="F124" s="208"/>
      <c r="G124" s="208"/>
      <c r="H124" s="208"/>
      <c r="I124" s="209"/>
      <c r="J124" s="210"/>
      <c r="K124" s="210"/>
      <c r="L124" s="211"/>
    </row>
    <row r="125" spans="1:13" x14ac:dyDescent="0.25">
      <c r="A125" s="93" t="s">
        <v>171</v>
      </c>
      <c r="B125" s="93" t="s">
        <v>184</v>
      </c>
      <c r="C125" s="95" t="s">
        <v>39</v>
      </c>
      <c r="D125" s="190">
        <v>100</v>
      </c>
      <c r="E125" s="96">
        <f t="shared" ref="E125:E129" si="98">ROUND(D125*$B$8*$B$9,2)</f>
        <v>88.52</v>
      </c>
      <c r="F125" s="190">
        <v>100</v>
      </c>
      <c r="G125" s="97">
        <f t="shared" ref="G125" si="99">IFERROR((F125/E125)-1,0)</f>
        <v>0.12968820605512876</v>
      </c>
      <c r="H125" s="97">
        <f t="shared" ref="H125" si="100">IFERROR((F125/D125)-1,0)</f>
        <v>0</v>
      </c>
      <c r="I125" s="200">
        <v>100</v>
      </c>
      <c r="J125" s="108">
        <f t="shared" ref="J125:K125" si="101">ROUND(E125*$I125,2)</f>
        <v>8852</v>
      </c>
      <c r="K125" s="108">
        <f t="shared" si="101"/>
        <v>10000</v>
      </c>
      <c r="L125" s="108">
        <f t="shared" ref="L125" si="102">ROUND(K125-J125,2)</f>
        <v>1148</v>
      </c>
    </row>
    <row r="126" spans="1:13" s="73" customFormat="1" x14ac:dyDescent="0.25">
      <c r="A126" s="93"/>
      <c r="B126" s="93"/>
      <c r="C126" s="95"/>
      <c r="D126" s="190"/>
      <c r="E126" s="96">
        <f t="shared" si="98"/>
        <v>0</v>
      </c>
      <c r="F126" s="190"/>
      <c r="G126" s="97">
        <f>IFERROR(ROUND((F126/E126)-1,3),0)</f>
        <v>0</v>
      </c>
      <c r="H126" s="97">
        <f>IFERROR(ROUND((F126/D126)-1,3),0)</f>
        <v>0</v>
      </c>
      <c r="I126" s="200"/>
      <c r="J126" s="108">
        <f>ROUND(E126*$I126,2)</f>
        <v>0</v>
      </c>
      <c r="K126" s="108">
        <f>ROUND(F126*$I126,2)</f>
        <v>0</v>
      </c>
      <c r="L126" s="108">
        <f>ROUND(K126-J126,2)</f>
        <v>0</v>
      </c>
    </row>
    <row r="127" spans="1:13" x14ac:dyDescent="0.25">
      <c r="A127" s="93"/>
      <c r="B127" s="93"/>
      <c r="C127" s="95"/>
      <c r="D127" s="190"/>
      <c r="E127" s="96">
        <f t="shared" si="98"/>
        <v>0</v>
      </c>
      <c r="F127" s="190"/>
      <c r="G127" s="97">
        <f t="shared" ref="G127:G129" si="103">IFERROR(ROUND((F127/E127)-1,3),0)</f>
        <v>0</v>
      </c>
      <c r="H127" s="97">
        <f t="shared" ref="H127:H129" si="104">IFERROR(ROUND((F127/D127)-1,3),0)</f>
        <v>0</v>
      </c>
      <c r="I127" s="200"/>
      <c r="J127" s="108">
        <f t="shared" ref="J127:K129" si="105">ROUND(E127*$I127,2)</f>
        <v>0</v>
      </c>
      <c r="K127" s="108">
        <f t="shared" si="105"/>
        <v>0</v>
      </c>
      <c r="L127" s="108">
        <f t="shared" ref="L127:L129" si="106">ROUND(K127-J127,2)</f>
        <v>0</v>
      </c>
      <c r="M127" s="99"/>
    </row>
    <row r="128" spans="1:13" x14ac:dyDescent="0.25">
      <c r="A128" s="93"/>
      <c r="B128" s="93"/>
      <c r="C128" s="95"/>
      <c r="D128" s="190"/>
      <c r="E128" s="96">
        <f t="shared" si="98"/>
        <v>0</v>
      </c>
      <c r="F128" s="190"/>
      <c r="G128" s="97">
        <f t="shared" si="103"/>
        <v>0</v>
      </c>
      <c r="H128" s="97">
        <f t="shared" si="104"/>
        <v>0</v>
      </c>
      <c r="I128" s="200"/>
      <c r="J128" s="108">
        <f t="shared" si="105"/>
        <v>0</v>
      </c>
      <c r="K128" s="108">
        <f t="shared" si="105"/>
        <v>0</v>
      </c>
      <c r="L128" s="108">
        <f t="shared" si="106"/>
        <v>0</v>
      </c>
      <c r="M128" s="99"/>
    </row>
    <row r="129" spans="1:13" x14ac:dyDescent="0.25">
      <c r="A129" s="93"/>
      <c r="B129" s="93"/>
      <c r="C129" s="95"/>
      <c r="D129" s="190"/>
      <c r="E129" s="96">
        <f t="shared" si="98"/>
        <v>0</v>
      </c>
      <c r="F129" s="190"/>
      <c r="G129" s="97">
        <f t="shared" si="103"/>
        <v>0</v>
      </c>
      <c r="H129" s="97">
        <f t="shared" si="104"/>
        <v>0</v>
      </c>
      <c r="I129" s="200"/>
      <c r="J129" s="108">
        <f t="shared" si="105"/>
        <v>0</v>
      </c>
      <c r="K129" s="108">
        <f t="shared" si="105"/>
        <v>0</v>
      </c>
      <c r="L129" s="108">
        <f t="shared" si="106"/>
        <v>0</v>
      </c>
      <c r="M129" s="99"/>
    </row>
    <row r="130" spans="1:13" s="207" customFormat="1" x14ac:dyDescent="0.25">
      <c r="A130" s="194"/>
      <c r="B130" s="195" t="s">
        <v>41</v>
      </c>
      <c r="C130" s="195" t="s">
        <v>42</v>
      </c>
      <c r="D130" s="208"/>
      <c r="E130" s="208"/>
      <c r="F130" s="208"/>
      <c r="G130" s="208"/>
      <c r="H130" s="208"/>
      <c r="I130" s="209"/>
      <c r="J130" s="210"/>
      <c r="K130" s="210"/>
      <c r="L130" s="211"/>
    </row>
    <row r="131" spans="1:13" x14ac:dyDescent="0.25">
      <c r="A131" s="93" t="s">
        <v>171</v>
      </c>
      <c r="B131" s="93" t="s">
        <v>179</v>
      </c>
      <c r="C131" s="95" t="s">
        <v>42</v>
      </c>
      <c r="D131" s="190">
        <v>100</v>
      </c>
      <c r="E131" s="96">
        <f t="shared" ref="E131:E135" si="107">ROUND(D131*$B$8*$B$9,2)</f>
        <v>88.52</v>
      </c>
      <c r="F131" s="190">
        <v>100</v>
      </c>
      <c r="G131" s="97">
        <f t="shared" ref="G131" si="108">IFERROR((F131/E131)-1,0)</f>
        <v>0.12968820605512876</v>
      </c>
      <c r="H131" s="97">
        <f t="shared" ref="H131" si="109">IFERROR((F131/D131)-1,0)</f>
        <v>0</v>
      </c>
      <c r="I131" s="200">
        <v>100</v>
      </c>
      <c r="J131" s="108">
        <f t="shared" ref="J131:K131" si="110">ROUND(E131*$I131,2)</f>
        <v>8852</v>
      </c>
      <c r="K131" s="108">
        <f t="shared" si="110"/>
        <v>10000</v>
      </c>
      <c r="L131" s="108">
        <f t="shared" ref="L131" si="111">ROUND(K131-J131,2)</f>
        <v>1148</v>
      </c>
    </row>
    <row r="132" spans="1:13" s="73" customFormat="1" x14ac:dyDescent="0.25">
      <c r="A132" s="93"/>
      <c r="B132" s="93"/>
      <c r="C132" s="95"/>
      <c r="D132" s="190"/>
      <c r="E132" s="96">
        <f t="shared" si="107"/>
        <v>0</v>
      </c>
      <c r="F132" s="190"/>
      <c r="G132" s="97">
        <f>IFERROR(ROUND((F132/E132)-1,3),0)</f>
        <v>0</v>
      </c>
      <c r="H132" s="97">
        <f>IFERROR(ROUND((F132/D132)-1,3),0)</f>
        <v>0</v>
      </c>
      <c r="I132" s="200"/>
      <c r="J132" s="108">
        <f>ROUND(E132*$I132,2)</f>
        <v>0</v>
      </c>
      <c r="K132" s="108">
        <f>ROUND(F132*$I132,2)</f>
        <v>0</v>
      </c>
      <c r="L132" s="108">
        <f>ROUND(K132-J132,2)</f>
        <v>0</v>
      </c>
    </row>
    <row r="133" spans="1:13" x14ac:dyDescent="0.25">
      <c r="A133" s="93"/>
      <c r="B133" s="93"/>
      <c r="C133" s="95"/>
      <c r="D133" s="190"/>
      <c r="E133" s="96">
        <f t="shared" si="107"/>
        <v>0</v>
      </c>
      <c r="F133" s="190"/>
      <c r="G133" s="97">
        <f t="shared" ref="G133:G135" si="112">IFERROR(ROUND((F133/E133)-1,3),0)</f>
        <v>0</v>
      </c>
      <c r="H133" s="97">
        <f t="shared" ref="H133:H135" si="113">IFERROR(ROUND((F133/D133)-1,3),0)</f>
        <v>0</v>
      </c>
      <c r="I133" s="200"/>
      <c r="J133" s="108">
        <f t="shared" ref="J133:K135" si="114">ROUND(E133*$I133,2)</f>
        <v>0</v>
      </c>
      <c r="K133" s="108">
        <f t="shared" si="114"/>
        <v>0</v>
      </c>
      <c r="L133" s="108">
        <f t="shared" ref="L133:L135" si="115">ROUND(K133-J133,2)</f>
        <v>0</v>
      </c>
      <c r="M133" s="99"/>
    </row>
    <row r="134" spans="1:13" x14ac:dyDescent="0.25">
      <c r="A134" s="93"/>
      <c r="B134" s="93"/>
      <c r="C134" s="95"/>
      <c r="D134" s="190"/>
      <c r="E134" s="96">
        <f t="shared" si="107"/>
        <v>0</v>
      </c>
      <c r="F134" s="190"/>
      <c r="G134" s="97">
        <f t="shared" si="112"/>
        <v>0</v>
      </c>
      <c r="H134" s="97">
        <f t="shared" si="113"/>
        <v>0</v>
      </c>
      <c r="I134" s="200"/>
      <c r="J134" s="108">
        <f t="shared" si="114"/>
        <v>0</v>
      </c>
      <c r="K134" s="108">
        <f t="shared" si="114"/>
        <v>0</v>
      </c>
      <c r="L134" s="108">
        <f t="shared" si="115"/>
        <v>0</v>
      </c>
      <c r="M134" s="99"/>
    </row>
    <row r="135" spans="1:13" x14ac:dyDescent="0.25">
      <c r="A135" s="93"/>
      <c r="B135" s="93"/>
      <c r="C135" s="95"/>
      <c r="D135" s="190"/>
      <c r="E135" s="96">
        <f t="shared" si="107"/>
        <v>0</v>
      </c>
      <c r="F135" s="190"/>
      <c r="G135" s="97">
        <f t="shared" si="112"/>
        <v>0</v>
      </c>
      <c r="H135" s="97">
        <f t="shared" si="113"/>
        <v>0</v>
      </c>
      <c r="I135" s="200"/>
      <c r="J135" s="108">
        <f t="shared" si="114"/>
        <v>0</v>
      </c>
      <c r="K135" s="108">
        <f t="shared" si="114"/>
        <v>0</v>
      </c>
      <c r="L135" s="108">
        <f t="shared" si="115"/>
        <v>0</v>
      </c>
      <c r="M135" s="99"/>
    </row>
    <row r="136" spans="1:13" s="207" customFormat="1" ht="30" x14ac:dyDescent="0.25">
      <c r="A136" s="194"/>
      <c r="B136" s="195" t="s">
        <v>43</v>
      </c>
      <c r="C136" s="195" t="s">
        <v>44</v>
      </c>
      <c r="D136" s="208"/>
      <c r="E136" s="208"/>
      <c r="F136" s="208"/>
      <c r="G136" s="208"/>
      <c r="H136" s="208"/>
      <c r="I136" s="209"/>
      <c r="J136" s="210"/>
      <c r="K136" s="210"/>
      <c r="L136" s="211"/>
    </row>
    <row r="137" spans="1:13" ht="30" x14ac:dyDescent="0.25">
      <c r="A137" s="93" t="s">
        <v>171</v>
      </c>
      <c r="B137" s="94" t="s">
        <v>180</v>
      </c>
      <c r="C137" s="95" t="s">
        <v>44</v>
      </c>
      <c r="D137" s="96">
        <v>100</v>
      </c>
      <c r="E137" s="96">
        <f t="shared" ref="E137:E141" si="116">ROUND(D137*$B$8*$B$9,2)</f>
        <v>88.52</v>
      </c>
      <c r="F137" s="96">
        <v>100</v>
      </c>
      <c r="G137" s="97">
        <f t="shared" ref="G137" si="117">IFERROR((F137/E137)-1,0)</f>
        <v>0.12968820605512876</v>
      </c>
      <c r="H137" s="97">
        <f t="shared" ref="H137" si="118">IFERROR((F137/D137)-1,0)</f>
        <v>0</v>
      </c>
      <c r="I137" s="200">
        <v>100</v>
      </c>
      <c r="J137" s="108">
        <f t="shared" ref="J137:K137" si="119">ROUND(E137*$I137,2)</f>
        <v>8852</v>
      </c>
      <c r="K137" s="108">
        <f t="shared" si="119"/>
        <v>10000</v>
      </c>
      <c r="L137" s="108">
        <f t="shared" ref="L137" si="120">ROUND(K137-J137,2)</f>
        <v>1148</v>
      </c>
    </row>
    <row r="138" spans="1:13" s="73" customFormat="1" x14ac:dyDescent="0.25">
      <c r="A138" s="93"/>
      <c r="B138" s="93"/>
      <c r="C138" s="95"/>
      <c r="D138" s="190"/>
      <c r="E138" s="96">
        <f t="shared" si="116"/>
        <v>0</v>
      </c>
      <c r="F138" s="190"/>
      <c r="G138" s="97">
        <f>IFERROR(ROUND((F138/E138)-1,3),0)</f>
        <v>0</v>
      </c>
      <c r="H138" s="97">
        <f>IFERROR(ROUND((F138/D138)-1,3),0)</f>
        <v>0</v>
      </c>
      <c r="I138" s="200"/>
      <c r="J138" s="108">
        <f>ROUND(E138*$I138,2)</f>
        <v>0</v>
      </c>
      <c r="K138" s="108">
        <f>ROUND(F138*$I138,2)</f>
        <v>0</v>
      </c>
      <c r="L138" s="108">
        <f>ROUND(K138-J138,2)</f>
        <v>0</v>
      </c>
    </row>
    <row r="139" spans="1:13" x14ac:dyDescent="0.25">
      <c r="A139" s="93"/>
      <c r="B139" s="93"/>
      <c r="C139" s="95"/>
      <c r="D139" s="190"/>
      <c r="E139" s="96">
        <f t="shared" si="116"/>
        <v>0</v>
      </c>
      <c r="F139" s="190"/>
      <c r="G139" s="97">
        <f t="shared" ref="G139:G141" si="121">IFERROR(ROUND((F139/E139)-1,3),0)</f>
        <v>0</v>
      </c>
      <c r="H139" s="97">
        <f t="shared" ref="H139:H141" si="122">IFERROR(ROUND((F139/D139)-1,3),0)</f>
        <v>0</v>
      </c>
      <c r="I139" s="200"/>
      <c r="J139" s="108">
        <f t="shared" ref="J139:K141" si="123">ROUND(E139*$I139,2)</f>
        <v>0</v>
      </c>
      <c r="K139" s="108">
        <f t="shared" si="123"/>
        <v>0</v>
      </c>
      <c r="L139" s="108">
        <f t="shared" ref="L139:L141" si="124">ROUND(K139-J139,2)</f>
        <v>0</v>
      </c>
      <c r="M139" s="99"/>
    </row>
    <row r="140" spans="1:13" x14ac:dyDescent="0.25">
      <c r="A140" s="93"/>
      <c r="B140" s="93"/>
      <c r="C140" s="95"/>
      <c r="D140" s="190"/>
      <c r="E140" s="96">
        <f t="shared" si="116"/>
        <v>0</v>
      </c>
      <c r="F140" s="190"/>
      <c r="G140" s="97">
        <f t="shared" si="121"/>
        <v>0</v>
      </c>
      <c r="H140" s="97">
        <f t="shared" si="122"/>
        <v>0</v>
      </c>
      <c r="I140" s="200"/>
      <c r="J140" s="108">
        <f t="shared" si="123"/>
        <v>0</v>
      </c>
      <c r="K140" s="108">
        <f t="shared" si="123"/>
        <v>0</v>
      </c>
      <c r="L140" s="108">
        <f t="shared" si="124"/>
        <v>0</v>
      </c>
      <c r="M140" s="99"/>
    </row>
    <row r="141" spans="1:13" x14ac:dyDescent="0.25">
      <c r="A141" s="93"/>
      <c r="B141" s="93"/>
      <c r="C141" s="95"/>
      <c r="D141" s="190"/>
      <c r="E141" s="96">
        <f t="shared" si="116"/>
        <v>0</v>
      </c>
      <c r="F141" s="190"/>
      <c r="G141" s="97">
        <f t="shared" si="121"/>
        <v>0</v>
      </c>
      <c r="H141" s="97">
        <f t="shared" si="122"/>
        <v>0</v>
      </c>
      <c r="I141" s="200"/>
      <c r="J141" s="108">
        <f t="shared" si="123"/>
        <v>0</v>
      </c>
      <c r="K141" s="108">
        <f t="shared" si="123"/>
        <v>0</v>
      </c>
      <c r="L141" s="108">
        <f t="shared" si="124"/>
        <v>0</v>
      </c>
      <c r="M141" s="99"/>
    </row>
    <row r="142" spans="1:13" s="207" customFormat="1" ht="30" x14ac:dyDescent="0.25">
      <c r="A142" s="194"/>
      <c r="B142" s="195" t="s">
        <v>52</v>
      </c>
      <c r="C142" s="195" t="s">
        <v>53</v>
      </c>
      <c r="D142" s="208"/>
      <c r="E142" s="208"/>
      <c r="F142" s="208"/>
      <c r="G142" s="208"/>
      <c r="H142" s="208"/>
      <c r="I142" s="209"/>
      <c r="J142" s="210"/>
      <c r="K142" s="210"/>
      <c r="L142" s="211"/>
    </row>
    <row r="143" spans="1:13" x14ac:dyDescent="0.25">
      <c r="A143" s="93" t="s">
        <v>171</v>
      </c>
      <c r="B143" s="93" t="s">
        <v>181</v>
      </c>
      <c r="C143" s="95" t="s">
        <v>53</v>
      </c>
      <c r="D143" s="190">
        <v>100</v>
      </c>
      <c r="E143" s="96">
        <f t="shared" ref="E143:E147" si="125">ROUND(D143*$B$8*$B$9,2)</f>
        <v>88.52</v>
      </c>
      <c r="F143" s="190">
        <v>100</v>
      </c>
      <c r="G143" s="97">
        <f t="shared" ref="G143" si="126">IFERROR((F143/E143)-1,0)</f>
        <v>0.12968820605512876</v>
      </c>
      <c r="H143" s="97">
        <f t="shared" ref="H143" si="127">IFERROR((F143/D143)-1,0)</f>
        <v>0</v>
      </c>
      <c r="I143" s="200">
        <v>100</v>
      </c>
      <c r="J143" s="108">
        <f t="shared" ref="J143:K143" si="128">ROUND(E143*$I143,2)</f>
        <v>8852</v>
      </c>
      <c r="K143" s="108">
        <f t="shared" si="128"/>
        <v>10000</v>
      </c>
      <c r="L143" s="108">
        <f t="shared" ref="L143" si="129">ROUND(K143-J143,2)</f>
        <v>1148</v>
      </c>
    </row>
    <row r="144" spans="1:13" s="73" customFormat="1" x14ac:dyDescent="0.25">
      <c r="A144" s="93"/>
      <c r="B144" s="93"/>
      <c r="C144" s="95"/>
      <c r="D144" s="190"/>
      <c r="E144" s="96">
        <f t="shared" si="125"/>
        <v>0</v>
      </c>
      <c r="F144" s="190"/>
      <c r="G144" s="97">
        <f>IFERROR(ROUND((F144/E144)-1,3),0)</f>
        <v>0</v>
      </c>
      <c r="H144" s="97">
        <f>IFERROR(ROUND((F144/D144)-1,3),0)</f>
        <v>0</v>
      </c>
      <c r="I144" s="200"/>
      <c r="J144" s="108">
        <f>ROUND(E144*$I144,2)</f>
        <v>0</v>
      </c>
      <c r="K144" s="108">
        <f>ROUND(F144*$I144,2)</f>
        <v>0</v>
      </c>
      <c r="L144" s="108">
        <f>ROUND(K144-J144,2)</f>
        <v>0</v>
      </c>
    </row>
    <row r="145" spans="1:13" x14ac:dyDescent="0.25">
      <c r="A145" s="93"/>
      <c r="B145" s="93"/>
      <c r="C145" s="95"/>
      <c r="D145" s="190"/>
      <c r="E145" s="96">
        <f t="shared" si="125"/>
        <v>0</v>
      </c>
      <c r="F145" s="190"/>
      <c r="G145" s="97">
        <f t="shared" ref="G145:G147" si="130">IFERROR(ROUND((F145/E145)-1,3),0)</f>
        <v>0</v>
      </c>
      <c r="H145" s="97">
        <f t="shared" ref="H145:H147" si="131">IFERROR(ROUND((F145/D145)-1,3),0)</f>
        <v>0</v>
      </c>
      <c r="I145" s="200"/>
      <c r="J145" s="108">
        <f t="shared" ref="J145:K147" si="132">ROUND(E145*$I145,2)</f>
        <v>0</v>
      </c>
      <c r="K145" s="108">
        <f t="shared" si="132"/>
        <v>0</v>
      </c>
      <c r="L145" s="108">
        <f t="shared" ref="L145:L147" si="133">ROUND(K145-J145,2)</f>
        <v>0</v>
      </c>
      <c r="M145" s="99"/>
    </row>
    <row r="146" spans="1:13" x14ac:dyDescent="0.25">
      <c r="A146" s="93"/>
      <c r="B146" s="93"/>
      <c r="C146" s="95"/>
      <c r="D146" s="190"/>
      <c r="E146" s="96">
        <f t="shared" si="125"/>
        <v>0</v>
      </c>
      <c r="F146" s="190"/>
      <c r="G146" s="97">
        <f t="shared" si="130"/>
        <v>0</v>
      </c>
      <c r="H146" s="97">
        <f t="shared" si="131"/>
        <v>0</v>
      </c>
      <c r="I146" s="200"/>
      <c r="J146" s="108">
        <f t="shared" si="132"/>
        <v>0</v>
      </c>
      <c r="K146" s="108">
        <f t="shared" si="132"/>
        <v>0</v>
      </c>
      <c r="L146" s="108">
        <f t="shared" si="133"/>
        <v>0</v>
      </c>
      <c r="M146" s="99"/>
    </row>
    <row r="147" spans="1:13" x14ac:dyDescent="0.25">
      <c r="A147" s="93"/>
      <c r="B147" s="93"/>
      <c r="C147" s="95"/>
      <c r="D147" s="190"/>
      <c r="E147" s="96">
        <f t="shared" si="125"/>
        <v>0</v>
      </c>
      <c r="F147" s="190"/>
      <c r="G147" s="97">
        <f t="shared" si="130"/>
        <v>0</v>
      </c>
      <c r="H147" s="97">
        <f t="shared" si="131"/>
        <v>0</v>
      </c>
      <c r="I147" s="200"/>
      <c r="J147" s="108">
        <f t="shared" si="132"/>
        <v>0</v>
      </c>
      <c r="K147" s="108">
        <f t="shared" si="132"/>
        <v>0</v>
      </c>
      <c r="L147" s="108">
        <f t="shared" si="133"/>
        <v>0</v>
      </c>
      <c r="M147" s="99"/>
    </row>
  </sheetData>
  <mergeCells count="6">
    <mergeCell ref="J84:L84"/>
    <mergeCell ref="D1:E1"/>
    <mergeCell ref="A2:B2"/>
    <mergeCell ref="A11:N12"/>
    <mergeCell ref="A81:L82"/>
    <mergeCell ref="L14:M14"/>
  </mergeCells>
  <conditionalFormatting sqref="D9">
    <cfRule type="expression" dxfId="7" priority="1">
      <formula>$D9="Fail"</formula>
    </cfRule>
    <cfRule type="expression" dxfId="6" priority="2">
      <formula>$D9="Pass"</formula>
    </cfRule>
  </conditionalFormatting>
  <pageMargins left="0.25" right="0.25" top="0.75" bottom="0.75" header="0.3" footer="0.3"/>
  <pageSetup paperSize="5" scale="5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6B5BA-7A83-48EC-BA50-F6B587274222}">
  <sheetPr codeName="Sheet5">
    <pageSetUpPr fitToPage="1"/>
  </sheetPr>
  <dimension ref="A1:O147"/>
  <sheetViews>
    <sheetView topLeftCell="A109" zoomScale="70" zoomScaleNormal="70" workbookViewId="0">
      <selection activeCell="J131" activeCellId="2" sqref="J119 J125 J131"/>
    </sheetView>
  </sheetViews>
  <sheetFormatPr defaultColWidth="9.140625" defaultRowHeight="15" x14ac:dyDescent="0.25"/>
  <cols>
    <col min="1" max="1" width="59" style="100" bestFit="1" customWidth="1"/>
    <col min="2" max="2" width="39.28515625" style="33" customWidth="1"/>
    <col min="3" max="3" width="15.7109375" style="80" customWidth="1"/>
    <col min="4" max="8" width="15.7109375" style="32" customWidth="1"/>
    <col min="9" max="11" width="15.7109375" style="34" customWidth="1"/>
    <col min="12" max="12" width="15.7109375" style="35" customWidth="1"/>
    <col min="13" max="14" width="18.28515625" style="36" customWidth="1"/>
    <col min="15" max="15" width="15.7109375" style="36" customWidth="1"/>
    <col min="16" max="16384" width="9.140625" style="36"/>
  </cols>
  <sheetData>
    <row r="1" spans="1:15" ht="21" x14ac:dyDescent="0.35">
      <c r="A1" s="317" t="str">
        <f>'Exogenous Costs'!A2</f>
        <v>Filing Date:  06/16/20</v>
      </c>
      <c r="B1" s="113"/>
      <c r="C1" s="36"/>
      <c r="D1" s="334"/>
      <c r="E1" s="334"/>
      <c r="F1" s="60"/>
      <c r="G1" s="36"/>
      <c r="H1" s="36"/>
    </row>
    <row r="2" spans="1:15" x14ac:dyDescent="0.25">
      <c r="A2" s="339" t="str">
        <f>'Exogenous Costs'!A3</f>
        <v xml:space="preserve">Filing Entity:  </v>
      </c>
      <c r="B2" s="339"/>
      <c r="C2" s="36"/>
      <c r="D2" s="36"/>
      <c r="F2" s="38"/>
      <c r="G2" s="36"/>
      <c r="H2" s="36"/>
    </row>
    <row r="3" spans="1:15" x14ac:dyDescent="0.25">
      <c r="A3" s="317" t="str">
        <f>'Exogenous Costs'!A4</f>
        <v xml:space="preserve">Transmittal Number:  </v>
      </c>
      <c r="B3" s="113"/>
      <c r="C3" s="36"/>
      <c r="D3" s="36"/>
      <c r="F3" s="38"/>
      <c r="G3" s="36"/>
      <c r="H3" s="36"/>
    </row>
    <row r="4" spans="1:15" x14ac:dyDescent="0.25">
      <c r="A4" s="245"/>
      <c r="C4" s="36"/>
      <c r="D4" s="36"/>
      <c r="F4" s="38"/>
      <c r="G4" s="36"/>
      <c r="H4" s="36"/>
      <c r="I4" s="36"/>
      <c r="J4" s="36"/>
      <c r="K4" s="36"/>
      <c r="L4" s="36"/>
    </row>
    <row r="5" spans="1:15" x14ac:dyDescent="0.25">
      <c r="A5" s="39"/>
      <c r="C5" s="36"/>
      <c r="D5" s="36"/>
      <c r="F5" s="38"/>
      <c r="G5" s="27"/>
      <c r="H5" s="44"/>
      <c r="I5" s="36"/>
      <c r="J5" s="36"/>
      <c r="K5" s="36"/>
      <c r="L5" s="36"/>
    </row>
    <row r="6" spans="1:15" x14ac:dyDescent="0.25">
      <c r="A6" s="47" t="s">
        <v>10</v>
      </c>
      <c r="B6" s="120" t="s">
        <v>147</v>
      </c>
      <c r="C6" s="36"/>
      <c r="D6" s="36"/>
      <c r="F6" s="38"/>
      <c r="G6" s="27"/>
      <c r="H6" s="44"/>
      <c r="I6" s="36"/>
      <c r="J6" s="36"/>
      <c r="K6" s="36"/>
      <c r="L6" s="36"/>
    </row>
    <row r="7" spans="1:15" x14ac:dyDescent="0.25">
      <c r="A7" s="47" t="s">
        <v>11</v>
      </c>
      <c r="B7" s="48" t="str">
        <f>VLOOKUP(B6,'Exogenous Costs'!C20:D23,2,0)</f>
        <v>BDS HoldCo EC3</v>
      </c>
      <c r="C7" s="36"/>
      <c r="D7" s="36"/>
      <c r="F7" s="38"/>
      <c r="G7" s="27"/>
      <c r="H7" s="44"/>
      <c r="I7" s="36"/>
      <c r="J7" s="36"/>
      <c r="K7" s="36"/>
      <c r="L7" s="36"/>
    </row>
    <row r="8" spans="1:15" x14ac:dyDescent="0.25">
      <c r="A8" s="300" t="s">
        <v>153</v>
      </c>
      <c r="B8" s="301">
        <f>'Factor Dev'!G18</f>
        <v>1</v>
      </c>
      <c r="C8" s="28"/>
      <c r="F8" s="38"/>
      <c r="G8" s="10"/>
      <c r="I8" s="71"/>
      <c r="J8" s="71"/>
      <c r="K8" s="71"/>
      <c r="M8" s="10"/>
      <c r="N8" s="10"/>
    </row>
    <row r="9" spans="1:15" s="73" customFormat="1" x14ac:dyDescent="0.25">
      <c r="A9" s="300" t="s">
        <v>154</v>
      </c>
      <c r="B9" s="301">
        <f>'Factor Dev'!K18</f>
        <v>0.92727300000000001</v>
      </c>
      <c r="C9" s="65"/>
      <c r="D9" s="66"/>
      <c r="E9" s="67"/>
      <c r="F9" s="67"/>
      <c r="G9" s="67"/>
      <c r="H9" s="67"/>
      <c r="I9" s="67"/>
      <c r="J9" s="67"/>
      <c r="K9" s="72"/>
    </row>
    <row r="10" spans="1:15" ht="15.75" thickBot="1" x14ac:dyDescent="0.3">
      <c r="A10" s="74"/>
      <c r="B10" s="57"/>
      <c r="C10" s="75"/>
      <c r="D10" s="76"/>
      <c r="E10" s="76"/>
      <c r="F10" s="38"/>
      <c r="G10" s="16"/>
      <c r="H10" s="76"/>
      <c r="I10" s="71"/>
      <c r="J10" s="71"/>
      <c r="K10" s="71"/>
      <c r="M10" s="10"/>
      <c r="N10" s="10"/>
    </row>
    <row r="11" spans="1:15" ht="14.45" customHeight="1" x14ac:dyDescent="0.25">
      <c r="A11" s="347" t="s">
        <v>13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9"/>
      <c r="O11" s="77"/>
    </row>
    <row r="12" spans="1:15" ht="14.45" customHeight="1" thickBot="1" x14ac:dyDescent="0.3">
      <c r="A12" s="350"/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2"/>
      <c r="O12" s="77"/>
    </row>
    <row r="13" spans="1:15" s="72" customFormat="1" ht="14.45" customHeight="1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 x14ac:dyDescent="0.25">
      <c r="A14" s="36"/>
      <c r="B14" s="79"/>
      <c r="D14" s="81"/>
      <c r="E14" s="81"/>
      <c r="F14" s="81"/>
      <c r="G14" s="81"/>
      <c r="H14" s="81"/>
      <c r="I14" s="36"/>
      <c r="J14" s="36"/>
      <c r="K14" s="82"/>
      <c r="L14" s="353" t="s">
        <v>68</v>
      </c>
      <c r="M14" s="354"/>
      <c r="N14" s="292"/>
      <c r="O14" s="58"/>
    </row>
    <row r="15" spans="1:15" s="59" customFormat="1" ht="276.75" customHeight="1" x14ac:dyDescent="0.25">
      <c r="A15" s="84" t="s">
        <v>18</v>
      </c>
      <c r="B15" s="84" t="s">
        <v>14</v>
      </c>
      <c r="C15" s="85" t="s">
        <v>1</v>
      </c>
      <c r="D15" s="291" t="s">
        <v>134</v>
      </c>
      <c r="E15" s="291" t="s">
        <v>135</v>
      </c>
      <c r="F15" s="291" t="s">
        <v>136</v>
      </c>
      <c r="G15" s="291" t="s">
        <v>137</v>
      </c>
      <c r="H15" s="291" t="s">
        <v>63</v>
      </c>
      <c r="I15" s="87" t="s">
        <v>109</v>
      </c>
      <c r="J15" s="88" t="s">
        <v>110</v>
      </c>
      <c r="K15" s="88" t="s">
        <v>111</v>
      </c>
      <c r="L15" s="293" t="s">
        <v>138</v>
      </c>
      <c r="M15" s="293" t="s">
        <v>22</v>
      </c>
      <c r="N15" s="291" t="s">
        <v>139</v>
      </c>
    </row>
    <row r="16" spans="1:15" s="57" customFormat="1" x14ac:dyDescent="0.25">
      <c r="A16" s="89"/>
      <c r="B16" s="90"/>
      <c r="C16" s="84" t="str">
        <f>"Col "&amp;COLUMN(C17)+24</f>
        <v>Col 27</v>
      </c>
      <c r="D16" s="84" t="str">
        <f t="shared" ref="D16:N16" si="0">"Col "&amp;COLUMN(D17)+24</f>
        <v>Col 28</v>
      </c>
      <c r="E16" s="84" t="str">
        <f t="shared" si="0"/>
        <v>Col 29</v>
      </c>
      <c r="F16" s="84" t="str">
        <f t="shared" si="0"/>
        <v>Col 30</v>
      </c>
      <c r="G16" s="84" t="str">
        <f t="shared" si="0"/>
        <v>Col 31</v>
      </c>
      <c r="H16" s="84" t="str">
        <f t="shared" si="0"/>
        <v>Col 32</v>
      </c>
      <c r="I16" s="84" t="str">
        <f t="shared" si="0"/>
        <v>Col 33</v>
      </c>
      <c r="J16" s="84" t="str">
        <f t="shared" si="0"/>
        <v>Col 34</v>
      </c>
      <c r="K16" s="84" t="str">
        <f t="shared" si="0"/>
        <v>Col 35</v>
      </c>
      <c r="L16" s="84" t="str">
        <f t="shared" si="0"/>
        <v>Col 36</v>
      </c>
      <c r="M16" s="84" t="str">
        <f t="shared" si="0"/>
        <v>Col 37</v>
      </c>
      <c r="N16" s="84" t="str">
        <f t="shared" si="0"/>
        <v>Col 38</v>
      </c>
    </row>
    <row r="17" spans="1:14" s="57" customFormat="1" ht="153" customHeight="1" x14ac:dyDescent="0.25">
      <c r="A17" s="84" t="s">
        <v>2</v>
      </c>
      <c r="B17" s="84" t="s">
        <v>2</v>
      </c>
      <c r="C17" s="20" t="s">
        <v>2</v>
      </c>
      <c r="D17" s="84" t="s">
        <v>2</v>
      </c>
      <c r="E17" s="299" t="str">
        <f>D16&amp;" X Category Relationship Unfreeze Factor X Net Contributor or Net Recipient Factor"</f>
        <v>Col 28 X Category Relationship Unfreeze Factor X Net Contributor or Net Recipient Factor</v>
      </c>
      <c r="F17" s="91" t="s">
        <v>2</v>
      </c>
      <c r="G17" s="91" t="str">
        <f>"("&amp;F16&amp;" / "&amp;E16&amp;")"&amp;" - 1"</f>
        <v>(Col 30 / Col 29) - 1</v>
      </c>
      <c r="H17" s="91" t="str">
        <f>"("&amp;F16&amp;" / "&amp;D16&amp;")"&amp;" - 1"</f>
        <v>(Col 30 / Col 28) - 1</v>
      </c>
      <c r="I17" s="92" t="s">
        <v>2</v>
      </c>
      <c r="J17" s="92" t="s">
        <v>2</v>
      </c>
      <c r="K17" s="92" t="s">
        <v>2</v>
      </c>
      <c r="L17" s="91" t="str">
        <f>"(("&amp;E16&amp;" X "&amp;I16&amp;") + ("&amp;E16&amp;" X "&amp;J16&amp;" X Appropriate Discount) + ("&amp;E16&amp;" X "&amp;K16&amp;" X Appropriate Discount))"</f>
        <v>((Col 29 X Col 33) + (Col 29 X Col 34 X Appropriate Discount) + (Col 29 X Col 35 X Appropriate Discount))</v>
      </c>
      <c r="M17" s="91" t="str">
        <f>"(("&amp;F16&amp;" X "&amp;I16&amp;") + ("&amp;F16&amp;" X "&amp;J16&amp;" X Appropriate Discount) + ("&amp;F16&amp;" X "&amp;K16&amp;" X Appropriate Discount))"</f>
        <v>((Col 30 X Col 33) + (Col 30 X Col 34 X Appropriate Discount) + (Col 30 X Col 35 X Appropriate Discount))</v>
      </c>
      <c r="N17" s="91" t="str">
        <f>CONCATENATE(M16," - ",L16)</f>
        <v>Col 37 - Col 36</v>
      </c>
    </row>
    <row r="18" spans="1:14" s="199" customFormat="1" ht="30" customHeight="1" x14ac:dyDescent="0.25">
      <c r="A18" s="194"/>
      <c r="B18" s="195" t="s">
        <v>33</v>
      </c>
      <c r="C18" s="195" t="s">
        <v>27</v>
      </c>
      <c r="D18" s="196"/>
      <c r="E18" s="196"/>
      <c r="F18" s="196"/>
      <c r="G18" s="196"/>
      <c r="H18" s="196"/>
      <c r="I18" s="197"/>
      <c r="J18" s="197"/>
      <c r="K18" s="197"/>
      <c r="L18" s="198"/>
      <c r="M18" s="198"/>
      <c r="N18" s="198"/>
    </row>
    <row r="19" spans="1:14" s="57" customFormat="1" x14ac:dyDescent="0.25">
      <c r="A19" s="93" t="s">
        <v>171</v>
      </c>
      <c r="B19" s="93" t="s">
        <v>172</v>
      </c>
      <c r="C19" s="95" t="s">
        <v>27</v>
      </c>
      <c r="D19" s="233">
        <v>100</v>
      </c>
      <c r="E19" s="96">
        <f>ROUND(D19*$B$8*$B$9,2)</f>
        <v>92.73</v>
      </c>
      <c r="F19" s="233">
        <v>100</v>
      </c>
      <c r="G19" s="97">
        <f>IFERROR(ROUND((F19/E19)-1,3),0)</f>
        <v>7.8E-2</v>
      </c>
      <c r="H19" s="97">
        <f>ROUND(IFERROR((F19/D19)-1,0),3)</f>
        <v>0</v>
      </c>
      <c r="I19" s="234">
        <v>100</v>
      </c>
      <c r="J19" s="234">
        <v>10</v>
      </c>
      <c r="K19" s="234">
        <v>5</v>
      </c>
      <c r="L19" s="98">
        <f>IFERROR(ROUND(((E19*$I19)+(E19*$J19*0.8)+(E19*$K19*0.9)),2),0)</f>
        <v>10432.129999999999</v>
      </c>
      <c r="M19" s="98">
        <f>IFERROR(ROUND(((F19*$I19)+(F19*$J19*0.8)+(F19*$K19*0.9)),2),0)</f>
        <v>11250</v>
      </c>
      <c r="N19" s="98">
        <f>ROUND(M19-L19,2)</f>
        <v>817.87</v>
      </c>
    </row>
    <row r="20" spans="1:14" s="57" customFormat="1" x14ac:dyDescent="0.25">
      <c r="A20" s="93"/>
      <c r="B20" s="93"/>
      <c r="C20" s="95"/>
      <c r="D20" s="233"/>
      <c r="E20" s="96">
        <f t="shared" ref="E20:E23" si="1">ROUND(D20*$B$8*$B$9,2)</f>
        <v>0</v>
      </c>
      <c r="F20" s="233"/>
      <c r="G20" s="97">
        <f t="shared" ref="G20:G23" si="2">IFERROR(ROUND((F20/E20)-1,3),0)</f>
        <v>0</v>
      </c>
      <c r="H20" s="97">
        <f t="shared" ref="H20:H23" si="3">ROUND(IFERROR((F20/D20)-1,0),3)</f>
        <v>0</v>
      </c>
      <c r="I20" s="234"/>
      <c r="J20" s="234"/>
      <c r="K20" s="234"/>
      <c r="L20" s="98">
        <f t="shared" ref="L20:M23" si="4">IFERROR(ROUND(((E20*$I20)+(E20*$J20*0.8)+(E20*$K20*0.9)),2),0)</f>
        <v>0</v>
      </c>
      <c r="M20" s="98">
        <f t="shared" si="4"/>
        <v>0</v>
      </c>
      <c r="N20" s="98">
        <f t="shared" ref="N20:N23" si="5">ROUND(M20-L20,2)</f>
        <v>0</v>
      </c>
    </row>
    <row r="21" spans="1:14" s="57" customFormat="1" x14ac:dyDescent="0.25">
      <c r="A21" s="93"/>
      <c r="B21" s="93"/>
      <c r="C21" s="95"/>
      <c r="D21" s="233"/>
      <c r="E21" s="96">
        <f t="shared" si="1"/>
        <v>0</v>
      </c>
      <c r="F21" s="233"/>
      <c r="G21" s="97">
        <f t="shared" si="2"/>
        <v>0</v>
      </c>
      <c r="H21" s="97">
        <f t="shared" si="3"/>
        <v>0</v>
      </c>
      <c r="I21" s="234"/>
      <c r="J21" s="234"/>
      <c r="K21" s="234"/>
      <c r="L21" s="98">
        <f t="shared" si="4"/>
        <v>0</v>
      </c>
      <c r="M21" s="98">
        <f t="shared" si="4"/>
        <v>0</v>
      </c>
      <c r="N21" s="98">
        <f t="shared" si="5"/>
        <v>0</v>
      </c>
    </row>
    <row r="22" spans="1:14" s="57" customFormat="1" x14ac:dyDescent="0.25">
      <c r="A22" s="93"/>
      <c r="B22" s="93"/>
      <c r="C22" s="95"/>
      <c r="D22" s="233"/>
      <c r="E22" s="96">
        <f t="shared" si="1"/>
        <v>0</v>
      </c>
      <c r="F22" s="233"/>
      <c r="G22" s="97">
        <f t="shared" si="2"/>
        <v>0</v>
      </c>
      <c r="H22" s="97">
        <f t="shared" si="3"/>
        <v>0</v>
      </c>
      <c r="I22" s="234"/>
      <c r="J22" s="234"/>
      <c r="K22" s="234"/>
      <c r="L22" s="98">
        <f t="shared" si="4"/>
        <v>0</v>
      </c>
      <c r="M22" s="98">
        <f t="shared" si="4"/>
        <v>0</v>
      </c>
      <c r="N22" s="98">
        <f t="shared" si="5"/>
        <v>0</v>
      </c>
    </row>
    <row r="23" spans="1:14" s="57" customFormat="1" x14ac:dyDescent="0.25">
      <c r="A23" s="93"/>
      <c r="B23" s="93"/>
      <c r="C23" s="95"/>
      <c r="D23" s="233"/>
      <c r="E23" s="96">
        <f t="shared" si="1"/>
        <v>0</v>
      </c>
      <c r="F23" s="233"/>
      <c r="G23" s="97">
        <f t="shared" si="2"/>
        <v>0</v>
      </c>
      <c r="H23" s="97">
        <f t="shared" si="3"/>
        <v>0</v>
      </c>
      <c r="I23" s="234"/>
      <c r="J23" s="234"/>
      <c r="K23" s="234"/>
      <c r="L23" s="98">
        <f t="shared" si="4"/>
        <v>0</v>
      </c>
      <c r="M23" s="98">
        <f t="shared" si="4"/>
        <v>0</v>
      </c>
      <c r="N23" s="98">
        <f t="shared" si="5"/>
        <v>0</v>
      </c>
    </row>
    <row r="24" spans="1:14" s="199" customFormat="1" ht="30.75" customHeight="1" x14ac:dyDescent="0.25">
      <c r="A24" s="194"/>
      <c r="B24" s="195" t="s">
        <v>32</v>
      </c>
      <c r="C24" s="195" t="s">
        <v>28</v>
      </c>
      <c r="D24" s="201"/>
      <c r="E24" s="201"/>
      <c r="F24" s="201"/>
      <c r="G24" s="202"/>
      <c r="H24" s="202"/>
      <c r="I24" s="197"/>
      <c r="J24" s="197"/>
      <c r="K24" s="197"/>
      <c r="L24" s="198"/>
      <c r="M24" s="198"/>
      <c r="N24" s="198"/>
    </row>
    <row r="25" spans="1:14" s="57" customFormat="1" x14ac:dyDescent="0.25">
      <c r="A25" s="93" t="s">
        <v>171</v>
      </c>
      <c r="B25" s="94" t="s">
        <v>173</v>
      </c>
      <c r="C25" s="95" t="s">
        <v>28</v>
      </c>
      <c r="D25" s="96">
        <v>100</v>
      </c>
      <c r="E25" s="96">
        <f t="shared" ref="E25:E29" si="6">ROUND(D25*$B$8*$B$9,2)</f>
        <v>92.73</v>
      </c>
      <c r="F25" s="96">
        <v>100</v>
      </c>
      <c r="G25" s="97">
        <f t="shared" ref="G25:G29" si="7">IFERROR(ROUND((F25/E25)-1,3),0)</f>
        <v>7.8E-2</v>
      </c>
      <c r="H25" s="97">
        <f t="shared" ref="H25:H29" si="8">ROUND(IFERROR((F25/D25)-1,0),3)</f>
        <v>0</v>
      </c>
      <c r="I25" s="234">
        <v>100</v>
      </c>
      <c r="J25" s="234">
        <v>10</v>
      </c>
      <c r="K25" s="234">
        <v>5</v>
      </c>
      <c r="L25" s="98">
        <f t="shared" ref="L25:M29" si="9">IFERROR(ROUND(((E25*$I25)+(E25*$J25*0.8)+(E25*$K25*0.9)),2),0)</f>
        <v>10432.129999999999</v>
      </c>
      <c r="M25" s="98">
        <f t="shared" si="9"/>
        <v>11250</v>
      </c>
      <c r="N25" s="98">
        <f t="shared" ref="N25:N29" si="10">ROUND(M25-L25,2)</f>
        <v>817.87</v>
      </c>
    </row>
    <row r="26" spans="1:14" s="57" customFormat="1" x14ac:dyDescent="0.25">
      <c r="A26" s="93"/>
      <c r="B26" s="93"/>
      <c r="C26" s="95"/>
      <c r="D26" s="233"/>
      <c r="E26" s="96">
        <f t="shared" si="6"/>
        <v>0</v>
      </c>
      <c r="F26" s="233"/>
      <c r="G26" s="97">
        <f t="shared" si="7"/>
        <v>0</v>
      </c>
      <c r="H26" s="97">
        <f t="shared" si="8"/>
        <v>0</v>
      </c>
      <c r="I26" s="234"/>
      <c r="J26" s="234"/>
      <c r="K26" s="234"/>
      <c r="L26" s="98">
        <f t="shared" si="9"/>
        <v>0</v>
      </c>
      <c r="M26" s="98">
        <f t="shared" si="9"/>
        <v>0</v>
      </c>
      <c r="N26" s="98">
        <f t="shared" si="10"/>
        <v>0</v>
      </c>
    </row>
    <row r="27" spans="1:14" s="57" customFormat="1" x14ac:dyDescent="0.25">
      <c r="A27" s="93"/>
      <c r="B27" s="93"/>
      <c r="C27" s="95"/>
      <c r="D27" s="233"/>
      <c r="E27" s="96">
        <f t="shared" si="6"/>
        <v>0</v>
      </c>
      <c r="F27" s="233"/>
      <c r="G27" s="97">
        <f t="shared" si="7"/>
        <v>0</v>
      </c>
      <c r="H27" s="97">
        <f t="shared" si="8"/>
        <v>0</v>
      </c>
      <c r="I27" s="234"/>
      <c r="J27" s="234"/>
      <c r="K27" s="234"/>
      <c r="L27" s="98">
        <f t="shared" si="9"/>
        <v>0</v>
      </c>
      <c r="M27" s="98">
        <f t="shared" si="9"/>
        <v>0</v>
      </c>
      <c r="N27" s="98">
        <f t="shared" si="10"/>
        <v>0</v>
      </c>
    </row>
    <row r="28" spans="1:14" s="57" customFormat="1" x14ac:dyDescent="0.25">
      <c r="A28" s="93"/>
      <c r="B28" s="93"/>
      <c r="C28" s="95"/>
      <c r="D28" s="233"/>
      <c r="E28" s="96">
        <f t="shared" si="6"/>
        <v>0</v>
      </c>
      <c r="F28" s="233"/>
      <c r="G28" s="97">
        <f t="shared" si="7"/>
        <v>0</v>
      </c>
      <c r="H28" s="97">
        <f t="shared" si="8"/>
        <v>0</v>
      </c>
      <c r="I28" s="234"/>
      <c r="J28" s="234"/>
      <c r="K28" s="234"/>
      <c r="L28" s="98">
        <f t="shared" si="9"/>
        <v>0</v>
      </c>
      <c r="M28" s="98">
        <f t="shared" si="9"/>
        <v>0</v>
      </c>
      <c r="N28" s="98">
        <f t="shared" si="10"/>
        <v>0</v>
      </c>
    </row>
    <row r="29" spans="1:14" s="57" customFormat="1" x14ac:dyDescent="0.25">
      <c r="A29" s="93"/>
      <c r="B29" s="93"/>
      <c r="C29" s="95"/>
      <c r="D29" s="233"/>
      <c r="E29" s="96">
        <f t="shared" si="6"/>
        <v>0</v>
      </c>
      <c r="F29" s="233"/>
      <c r="G29" s="97">
        <f t="shared" si="7"/>
        <v>0</v>
      </c>
      <c r="H29" s="97">
        <f t="shared" si="8"/>
        <v>0</v>
      </c>
      <c r="I29" s="234"/>
      <c r="J29" s="234"/>
      <c r="K29" s="234"/>
      <c r="L29" s="98">
        <f t="shared" si="9"/>
        <v>0</v>
      </c>
      <c r="M29" s="98">
        <f t="shared" si="9"/>
        <v>0</v>
      </c>
      <c r="N29" s="98">
        <f t="shared" si="10"/>
        <v>0</v>
      </c>
    </row>
    <row r="30" spans="1:14" s="199" customFormat="1" ht="30.75" customHeight="1" x14ac:dyDescent="0.25">
      <c r="A30" s="194"/>
      <c r="B30" s="195" t="s">
        <v>31</v>
      </c>
      <c r="C30" s="195" t="s">
        <v>29</v>
      </c>
      <c r="D30" s="201"/>
      <c r="E30" s="201"/>
      <c r="F30" s="201"/>
      <c r="G30" s="202"/>
      <c r="H30" s="202"/>
      <c r="I30" s="197"/>
      <c r="J30" s="197"/>
      <c r="K30" s="197"/>
      <c r="L30" s="198"/>
      <c r="M30" s="198"/>
      <c r="N30" s="198"/>
    </row>
    <row r="31" spans="1:14" s="57" customFormat="1" ht="15" customHeight="1" x14ac:dyDescent="0.25">
      <c r="A31" s="93" t="s">
        <v>171</v>
      </c>
      <c r="B31" s="93" t="s">
        <v>174</v>
      </c>
      <c r="C31" s="95" t="s">
        <v>29</v>
      </c>
      <c r="D31" s="233">
        <v>100</v>
      </c>
      <c r="E31" s="96">
        <f t="shared" ref="E31:E35" si="11">ROUND(D31*$B$8*$B$9,2)</f>
        <v>92.73</v>
      </c>
      <c r="F31" s="233">
        <v>100</v>
      </c>
      <c r="G31" s="97">
        <f t="shared" ref="G31:G35" si="12">IFERROR(ROUND((F31/E31)-1,3),0)</f>
        <v>7.8E-2</v>
      </c>
      <c r="H31" s="97">
        <f t="shared" ref="H31:H35" si="13">ROUND(IFERROR((F31/D31)-1,0),3)</f>
        <v>0</v>
      </c>
      <c r="I31" s="234">
        <v>100</v>
      </c>
      <c r="J31" s="234">
        <v>10</v>
      </c>
      <c r="K31" s="234">
        <v>5</v>
      </c>
      <c r="L31" s="98">
        <f t="shared" ref="L31:M35" si="14">IFERROR(ROUND(((E31*$I31)+(E31*$J31*0.8)+(E31*$K31*0.9)),2),0)</f>
        <v>10432.129999999999</v>
      </c>
      <c r="M31" s="98">
        <f t="shared" si="14"/>
        <v>11250</v>
      </c>
      <c r="N31" s="98">
        <f t="shared" ref="N31:N35" si="15">ROUND(M31-L31,2)</f>
        <v>817.87</v>
      </c>
    </row>
    <row r="32" spans="1:14" s="57" customFormat="1" x14ac:dyDescent="0.25">
      <c r="A32" s="93"/>
      <c r="B32" s="93"/>
      <c r="C32" s="95"/>
      <c r="D32" s="233"/>
      <c r="E32" s="96">
        <f t="shared" si="11"/>
        <v>0</v>
      </c>
      <c r="F32" s="233"/>
      <c r="G32" s="97">
        <f t="shared" si="12"/>
        <v>0</v>
      </c>
      <c r="H32" s="97">
        <f t="shared" si="13"/>
        <v>0</v>
      </c>
      <c r="I32" s="234"/>
      <c r="J32" s="234"/>
      <c r="K32" s="234"/>
      <c r="L32" s="98">
        <f t="shared" si="14"/>
        <v>0</v>
      </c>
      <c r="M32" s="98">
        <f t="shared" si="14"/>
        <v>0</v>
      </c>
      <c r="N32" s="98">
        <f t="shared" si="15"/>
        <v>0</v>
      </c>
    </row>
    <row r="33" spans="1:14" s="57" customFormat="1" x14ac:dyDescent="0.25">
      <c r="A33" s="93"/>
      <c r="B33" s="93"/>
      <c r="C33" s="95"/>
      <c r="D33" s="233"/>
      <c r="E33" s="96">
        <f t="shared" si="11"/>
        <v>0</v>
      </c>
      <c r="F33" s="233"/>
      <c r="G33" s="97">
        <f t="shared" si="12"/>
        <v>0</v>
      </c>
      <c r="H33" s="97">
        <f t="shared" si="13"/>
        <v>0</v>
      </c>
      <c r="I33" s="234"/>
      <c r="J33" s="234"/>
      <c r="K33" s="234"/>
      <c r="L33" s="98">
        <f t="shared" si="14"/>
        <v>0</v>
      </c>
      <c r="M33" s="98">
        <f t="shared" si="14"/>
        <v>0</v>
      </c>
      <c r="N33" s="98">
        <f t="shared" si="15"/>
        <v>0</v>
      </c>
    </row>
    <row r="34" spans="1:14" s="57" customFormat="1" x14ac:dyDescent="0.25">
      <c r="A34" s="93"/>
      <c r="B34" s="93"/>
      <c r="C34" s="95"/>
      <c r="D34" s="233"/>
      <c r="E34" s="96">
        <f t="shared" si="11"/>
        <v>0</v>
      </c>
      <c r="F34" s="233"/>
      <c r="G34" s="97">
        <f t="shared" si="12"/>
        <v>0</v>
      </c>
      <c r="H34" s="97">
        <f t="shared" si="13"/>
        <v>0</v>
      </c>
      <c r="I34" s="234"/>
      <c r="J34" s="234"/>
      <c r="K34" s="234"/>
      <c r="L34" s="98">
        <f t="shared" si="14"/>
        <v>0</v>
      </c>
      <c r="M34" s="98">
        <f t="shared" si="14"/>
        <v>0</v>
      </c>
      <c r="N34" s="98">
        <f t="shared" si="15"/>
        <v>0</v>
      </c>
    </row>
    <row r="35" spans="1:14" s="57" customFormat="1" x14ac:dyDescent="0.25">
      <c r="A35" s="93"/>
      <c r="B35" s="93"/>
      <c r="C35" s="95"/>
      <c r="D35" s="233"/>
      <c r="E35" s="96">
        <f t="shared" si="11"/>
        <v>0</v>
      </c>
      <c r="F35" s="233"/>
      <c r="G35" s="97">
        <f t="shared" si="12"/>
        <v>0</v>
      </c>
      <c r="H35" s="97">
        <f t="shared" si="13"/>
        <v>0</v>
      </c>
      <c r="I35" s="234"/>
      <c r="J35" s="234"/>
      <c r="K35" s="234"/>
      <c r="L35" s="98">
        <f t="shared" si="14"/>
        <v>0</v>
      </c>
      <c r="M35" s="98">
        <f t="shared" si="14"/>
        <v>0</v>
      </c>
      <c r="N35" s="98">
        <f t="shared" si="15"/>
        <v>0</v>
      </c>
    </row>
    <row r="36" spans="1:14" s="199" customFormat="1" ht="33.75" customHeight="1" x14ac:dyDescent="0.25">
      <c r="A36" s="194"/>
      <c r="B36" s="195" t="s">
        <v>30</v>
      </c>
      <c r="C36" s="195" t="s">
        <v>45</v>
      </c>
      <c r="D36" s="201"/>
      <c r="E36" s="201"/>
      <c r="F36" s="201"/>
      <c r="G36" s="202"/>
      <c r="H36" s="202"/>
      <c r="I36" s="197"/>
      <c r="J36" s="197"/>
      <c r="K36" s="197"/>
      <c r="L36" s="198"/>
      <c r="M36" s="198"/>
      <c r="N36" s="198"/>
    </row>
    <row r="37" spans="1:14" s="57" customFormat="1" x14ac:dyDescent="0.25">
      <c r="A37" s="93" t="s">
        <v>171</v>
      </c>
      <c r="B37" s="93" t="s">
        <v>175</v>
      </c>
      <c r="C37" s="95" t="s">
        <v>45</v>
      </c>
      <c r="D37" s="233">
        <v>100</v>
      </c>
      <c r="E37" s="96">
        <f t="shared" ref="E37:E41" si="16">ROUND(D37*$B$8*$B$9,2)</f>
        <v>92.73</v>
      </c>
      <c r="F37" s="233">
        <v>100</v>
      </c>
      <c r="G37" s="97">
        <f t="shared" ref="G37:G41" si="17">IFERROR(ROUND((F37/E37)-1,3),0)</f>
        <v>7.8E-2</v>
      </c>
      <c r="H37" s="97">
        <f t="shared" ref="H37:H41" si="18">ROUND(IFERROR((F37/D37)-1,0),3)</f>
        <v>0</v>
      </c>
      <c r="I37" s="234">
        <v>100</v>
      </c>
      <c r="J37" s="234">
        <v>10</v>
      </c>
      <c r="K37" s="234">
        <v>5</v>
      </c>
      <c r="L37" s="98">
        <f t="shared" ref="L37:M41" si="19">IFERROR(ROUND(((E37*$I37)+(E37*$J37*0.8)+(E37*$K37*0.9)),2),0)</f>
        <v>10432.129999999999</v>
      </c>
      <c r="M37" s="98">
        <f t="shared" si="19"/>
        <v>11250</v>
      </c>
      <c r="N37" s="98">
        <f t="shared" ref="N37:N41" si="20">ROUND(M37-L37,2)</f>
        <v>817.87</v>
      </c>
    </row>
    <row r="38" spans="1:14" s="57" customFormat="1" x14ac:dyDescent="0.25">
      <c r="A38" s="93"/>
      <c r="B38" s="93"/>
      <c r="C38" s="95"/>
      <c r="D38" s="233"/>
      <c r="E38" s="96">
        <f t="shared" si="16"/>
        <v>0</v>
      </c>
      <c r="F38" s="233"/>
      <c r="G38" s="97">
        <f t="shared" si="17"/>
        <v>0</v>
      </c>
      <c r="H38" s="97">
        <f t="shared" si="18"/>
        <v>0</v>
      </c>
      <c r="I38" s="234"/>
      <c r="J38" s="234"/>
      <c r="K38" s="234"/>
      <c r="L38" s="98">
        <f t="shared" si="19"/>
        <v>0</v>
      </c>
      <c r="M38" s="98">
        <f t="shared" si="19"/>
        <v>0</v>
      </c>
      <c r="N38" s="98">
        <f t="shared" si="20"/>
        <v>0</v>
      </c>
    </row>
    <row r="39" spans="1:14" s="57" customFormat="1" x14ac:dyDescent="0.25">
      <c r="A39" s="93"/>
      <c r="B39" s="93"/>
      <c r="C39" s="95"/>
      <c r="D39" s="233"/>
      <c r="E39" s="96">
        <f t="shared" si="16"/>
        <v>0</v>
      </c>
      <c r="F39" s="233"/>
      <c r="G39" s="97">
        <f t="shared" si="17"/>
        <v>0</v>
      </c>
      <c r="H39" s="97">
        <f t="shared" si="18"/>
        <v>0</v>
      </c>
      <c r="I39" s="234"/>
      <c r="J39" s="234"/>
      <c r="K39" s="234"/>
      <c r="L39" s="98">
        <f t="shared" si="19"/>
        <v>0</v>
      </c>
      <c r="M39" s="98">
        <f t="shared" si="19"/>
        <v>0</v>
      </c>
      <c r="N39" s="98">
        <f t="shared" si="20"/>
        <v>0</v>
      </c>
    </row>
    <row r="40" spans="1:14" s="57" customFormat="1" x14ac:dyDescent="0.25">
      <c r="A40" s="93"/>
      <c r="B40" s="93"/>
      <c r="C40" s="95"/>
      <c r="D40" s="233"/>
      <c r="E40" s="96">
        <f t="shared" si="16"/>
        <v>0</v>
      </c>
      <c r="F40" s="233"/>
      <c r="G40" s="97">
        <f t="shared" si="17"/>
        <v>0</v>
      </c>
      <c r="H40" s="97">
        <f t="shared" si="18"/>
        <v>0</v>
      </c>
      <c r="I40" s="234"/>
      <c r="J40" s="234"/>
      <c r="K40" s="234"/>
      <c r="L40" s="98">
        <f t="shared" si="19"/>
        <v>0</v>
      </c>
      <c r="M40" s="98">
        <f t="shared" si="19"/>
        <v>0</v>
      </c>
      <c r="N40" s="98">
        <f t="shared" si="20"/>
        <v>0</v>
      </c>
    </row>
    <row r="41" spans="1:14" s="57" customFormat="1" x14ac:dyDescent="0.25">
      <c r="A41" s="93"/>
      <c r="B41" s="93"/>
      <c r="C41" s="95"/>
      <c r="D41" s="233"/>
      <c r="E41" s="96">
        <f t="shared" si="16"/>
        <v>0</v>
      </c>
      <c r="F41" s="233"/>
      <c r="G41" s="97">
        <f t="shared" si="17"/>
        <v>0</v>
      </c>
      <c r="H41" s="97">
        <f t="shared" si="18"/>
        <v>0</v>
      </c>
      <c r="I41" s="234"/>
      <c r="J41" s="234"/>
      <c r="K41" s="234"/>
      <c r="L41" s="98">
        <f t="shared" si="19"/>
        <v>0</v>
      </c>
      <c r="M41" s="98">
        <f t="shared" si="19"/>
        <v>0</v>
      </c>
      <c r="N41" s="98">
        <f t="shared" si="20"/>
        <v>0</v>
      </c>
    </row>
    <row r="42" spans="1:14" s="199" customFormat="1" x14ac:dyDescent="0.25">
      <c r="A42" s="194"/>
      <c r="B42" s="195" t="s">
        <v>34</v>
      </c>
      <c r="C42" s="195" t="s">
        <v>35</v>
      </c>
      <c r="D42" s="201"/>
      <c r="E42" s="201"/>
      <c r="F42" s="201"/>
      <c r="G42" s="202"/>
      <c r="H42" s="202"/>
      <c r="I42" s="197"/>
      <c r="J42" s="197"/>
      <c r="K42" s="197"/>
      <c r="L42" s="198"/>
      <c r="M42" s="198"/>
      <c r="N42" s="198"/>
    </row>
    <row r="43" spans="1:14" s="57" customFormat="1" x14ac:dyDescent="0.25">
      <c r="A43" s="93" t="s">
        <v>171</v>
      </c>
      <c r="B43" s="93" t="s">
        <v>176</v>
      </c>
      <c r="C43" s="95" t="s">
        <v>35</v>
      </c>
      <c r="D43" s="233">
        <v>100</v>
      </c>
      <c r="E43" s="96">
        <f t="shared" ref="E43:E47" si="21">ROUND(D43*$B$8*$B$9,2)</f>
        <v>92.73</v>
      </c>
      <c r="F43" s="233">
        <v>100</v>
      </c>
      <c r="G43" s="97">
        <f t="shared" ref="G43:G47" si="22">IFERROR(ROUND((F43/E43)-1,3),0)</f>
        <v>7.8E-2</v>
      </c>
      <c r="H43" s="97">
        <f t="shared" ref="H43:H47" si="23">ROUND(IFERROR((F43/D43)-1,0),3)</f>
        <v>0</v>
      </c>
      <c r="I43" s="234">
        <v>100</v>
      </c>
      <c r="J43" s="234">
        <v>10</v>
      </c>
      <c r="K43" s="234">
        <v>5</v>
      </c>
      <c r="L43" s="98">
        <f t="shared" ref="L43:M47" si="24">IFERROR(ROUND(((E43*$I43)+(E43*$J43*0.8)+(E43*$K43*0.9)),2),0)</f>
        <v>10432.129999999999</v>
      </c>
      <c r="M43" s="98">
        <f t="shared" si="24"/>
        <v>11250</v>
      </c>
      <c r="N43" s="98">
        <f t="shared" ref="N43:N47" si="25">ROUND(M43-L43,2)</f>
        <v>817.87</v>
      </c>
    </row>
    <row r="44" spans="1:14" s="57" customFormat="1" x14ac:dyDescent="0.25">
      <c r="A44" s="93"/>
      <c r="B44" s="93"/>
      <c r="C44" s="95"/>
      <c r="D44" s="233"/>
      <c r="E44" s="96">
        <f t="shared" si="21"/>
        <v>0</v>
      </c>
      <c r="F44" s="233"/>
      <c r="G44" s="97">
        <f t="shared" si="22"/>
        <v>0</v>
      </c>
      <c r="H44" s="97">
        <f t="shared" si="23"/>
        <v>0</v>
      </c>
      <c r="I44" s="234"/>
      <c r="J44" s="234"/>
      <c r="K44" s="234"/>
      <c r="L44" s="98">
        <f t="shared" si="24"/>
        <v>0</v>
      </c>
      <c r="M44" s="98">
        <f t="shared" si="24"/>
        <v>0</v>
      </c>
      <c r="N44" s="98">
        <f t="shared" si="25"/>
        <v>0</v>
      </c>
    </row>
    <row r="45" spans="1:14" s="57" customFormat="1" x14ac:dyDescent="0.25">
      <c r="A45" s="93"/>
      <c r="B45" s="93"/>
      <c r="C45" s="95"/>
      <c r="D45" s="233"/>
      <c r="E45" s="96">
        <f t="shared" si="21"/>
        <v>0</v>
      </c>
      <c r="F45" s="233"/>
      <c r="G45" s="97">
        <f t="shared" si="22"/>
        <v>0</v>
      </c>
      <c r="H45" s="97">
        <f t="shared" si="23"/>
        <v>0</v>
      </c>
      <c r="I45" s="234"/>
      <c r="J45" s="234"/>
      <c r="K45" s="234"/>
      <c r="L45" s="98">
        <f t="shared" si="24"/>
        <v>0</v>
      </c>
      <c r="M45" s="98">
        <f t="shared" si="24"/>
        <v>0</v>
      </c>
      <c r="N45" s="98">
        <f t="shared" si="25"/>
        <v>0</v>
      </c>
    </row>
    <row r="46" spans="1:14" s="57" customFormat="1" x14ac:dyDescent="0.25">
      <c r="A46" s="93"/>
      <c r="B46" s="93"/>
      <c r="C46" s="95"/>
      <c r="D46" s="233"/>
      <c r="E46" s="96">
        <f t="shared" si="21"/>
        <v>0</v>
      </c>
      <c r="F46" s="233"/>
      <c r="G46" s="97">
        <f t="shared" si="22"/>
        <v>0</v>
      </c>
      <c r="H46" s="97">
        <f t="shared" si="23"/>
        <v>0</v>
      </c>
      <c r="I46" s="234"/>
      <c r="J46" s="234"/>
      <c r="K46" s="234"/>
      <c r="L46" s="98">
        <f t="shared" si="24"/>
        <v>0</v>
      </c>
      <c r="M46" s="98">
        <f t="shared" si="24"/>
        <v>0</v>
      </c>
      <c r="N46" s="98">
        <f t="shared" si="25"/>
        <v>0</v>
      </c>
    </row>
    <row r="47" spans="1:14" s="57" customFormat="1" x14ac:dyDescent="0.25">
      <c r="A47" s="93"/>
      <c r="B47" s="93"/>
      <c r="C47" s="95"/>
      <c r="D47" s="233"/>
      <c r="E47" s="96">
        <f t="shared" si="21"/>
        <v>0</v>
      </c>
      <c r="F47" s="233"/>
      <c r="G47" s="97">
        <f t="shared" si="22"/>
        <v>0</v>
      </c>
      <c r="H47" s="97">
        <f t="shared" si="23"/>
        <v>0</v>
      </c>
      <c r="I47" s="234"/>
      <c r="J47" s="234"/>
      <c r="K47" s="234"/>
      <c r="L47" s="98">
        <f t="shared" si="24"/>
        <v>0</v>
      </c>
      <c r="M47" s="98">
        <f t="shared" si="24"/>
        <v>0</v>
      </c>
      <c r="N47" s="98">
        <f t="shared" si="25"/>
        <v>0</v>
      </c>
    </row>
    <row r="48" spans="1:14" s="199" customFormat="1" ht="30" customHeight="1" x14ac:dyDescent="0.25">
      <c r="A48" s="194"/>
      <c r="B48" s="195" t="s">
        <v>36</v>
      </c>
      <c r="C48" s="195" t="s">
        <v>37</v>
      </c>
      <c r="D48" s="201"/>
      <c r="E48" s="201"/>
      <c r="F48" s="201"/>
      <c r="G48" s="202"/>
      <c r="H48" s="202"/>
      <c r="I48" s="197"/>
      <c r="J48" s="197"/>
      <c r="K48" s="197"/>
      <c r="L48" s="198"/>
      <c r="M48" s="198"/>
      <c r="N48" s="198"/>
    </row>
    <row r="49" spans="1:14" s="57" customFormat="1" x14ac:dyDescent="0.25">
      <c r="A49" s="93" t="s">
        <v>171</v>
      </c>
      <c r="B49" s="93" t="s">
        <v>177</v>
      </c>
      <c r="C49" s="95" t="s">
        <v>37</v>
      </c>
      <c r="D49" s="233">
        <v>100</v>
      </c>
      <c r="E49" s="96">
        <f t="shared" ref="E49:E53" si="26">ROUND(D49*$B$8*$B$9,2)</f>
        <v>92.73</v>
      </c>
      <c r="F49" s="233">
        <v>100</v>
      </c>
      <c r="G49" s="97">
        <f t="shared" ref="G49:G53" si="27">IFERROR(ROUND((F49/E49)-1,3),0)</f>
        <v>7.8E-2</v>
      </c>
      <c r="H49" s="97">
        <f t="shared" ref="H49:H53" si="28">ROUND(IFERROR((F49/D49)-1,0),3)</f>
        <v>0</v>
      </c>
      <c r="I49" s="234">
        <v>100</v>
      </c>
      <c r="J49" s="234">
        <v>10</v>
      </c>
      <c r="K49" s="234">
        <v>5</v>
      </c>
      <c r="L49" s="98">
        <f t="shared" ref="L49:M53" si="29">IFERROR(ROUND(((E49*$I49)+(E49*$J49*0.8)+(E49*$K49*0.9)),2),0)</f>
        <v>10432.129999999999</v>
      </c>
      <c r="M49" s="98">
        <f t="shared" si="29"/>
        <v>11250</v>
      </c>
      <c r="N49" s="98">
        <f t="shared" ref="N49:N53" si="30">ROUND(M49-L49,2)</f>
        <v>817.87</v>
      </c>
    </row>
    <row r="50" spans="1:14" s="57" customFormat="1" x14ac:dyDescent="0.25">
      <c r="A50" s="93"/>
      <c r="B50" s="93"/>
      <c r="C50" s="95"/>
      <c r="D50" s="233"/>
      <c r="E50" s="96">
        <f t="shared" si="26"/>
        <v>0</v>
      </c>
      <c r="F50" s="233"/>
      <c r="G50" s="97">
        <f t="shared" si="27"/>
        <v>0</v>
      </c>
      <c r="H50" s="97">
        <f t="shared" si="28"/>
        <v>0</v>
      </c>
      <c r="I50" s="234"/>
      <c r="J50" s="234"/>
      <c r="K50" s="234"/>
      <c r="L50" s="98">
        <f t="shared" si="29"/>
        <v>0</v>
      </c>
      <c r="M50" s="98">
        <f t="shared" si="29"/>
        <v>0</v>
      </c>
      <c r="N50" s="98">
        <f t="shared" si="30"/>
        <v>0</v>
      </c>
    </row>
    <row r="51" spans="1:14" s="57" customFormat="1" x14ac:dyDescent="0.25">
      <c r="A51" s="93"/>
      <c r="B51" s="93"/>
      <c r="C51" s="95"/>
      <c r="D51" s="233"/>
      <c r="E51" s="96">
        <f t="shared" si="26"/>
        <v>0</v>
      </c>
      <c r="F51" s="233"/>
      <c r="G51" s="97">
        <f t="shared" si="27"/>
        <v>0</v>
      </c>
      <c r="H51" s="97">
        <f t="shared" si="28"/>
        <v>0</v>
      </c>
      <c r="I51" s="234"/>
      <c r="J51" s="234"/>
      <c r="K51" s="234"/>
      <c r="L51" s="98">
        <f t="shared" si="29"/>
        <v>0</v>
      </c>
      <c r="M51" s="98">
        <f t="shared" si="29"/>
        <v>0</v>
      </c>
      <c r="N51" s="98">
        <f t="shared" si="30"/>
        <v>0</v>
      </c>
    </row>
    <row r="52" spans="1:14" s="57" customFormat="1" x14ac:dyDescent="0.25">
      <c r="A52" s="93"/>
      <c r="B52" s="93"/>
      <c r="C52" s="95"/>
      <c r="D52" s="233"/>
      <c r="E52" s="96">
        <f t="shared" si="26"/>
        <v>0</v>
      </c>
      <c r="F52" s="233"/>
      <c r="G52" s="97">
        <f t="shared" si="27"/>
        <v>0</v>
      </c>
      <c r="H52" s="97">
        <f t="shared" si="28"/>
        <v>0</v>
      </c>
      <c r="I52" s="234"/>
      <c r="J52" s="234"/>
      <c r="K52" s="234"/>
      <c r="L52" s="98">
        <f t="shared" si="29"/>
        <v>0</v>
      </c>
      <c r="M52" s="98">
        <f t="shared" si="29"/>
        <v>0</v>
      </c>
      <c r="N52" s="98">
        <f t="shared" si="30"/>
        <v>0</v>
      </c>
    </row>
    <row r="53" spans="1:14" s="57" customFormat="1" x14ac:dyDescent="0.25">
      <c r="A53" s="93"/>
      <c r="B53" s="93"/>
      <c r="C53" s="95"/>
      <c r="D53" s="233"/>
      <c r="E53" s="96">
        <f t="shared" si="26"/>
        <v>0</v>
      </c>
      <c r="F53" s="233"/>
      <c r="G53" s="97">
        <f t="shared" si="27"/>
        <v>0</v>
      </c>
      <c r="H53" s="97">
        <f t="shared" si="28"/>
        <v>0</v>
      </c>
      <c r="I53" s="234"/>
      <c r="J53" s="234"/>
      <c r="K53" s="234"/>
      <c r="L53" s="98">
        <f t="shared" si="29"/>
        <v>0</v>
      </c>
      <c r="M53" s="98">
        <f t="shared" si="29"/>
        <v>0</v>
      </c>
      <c r="N53" s="98">
        <f t="shared" si="30"/>
        <v>0</v>
      </c>
    </row>
    <row r="54" spans="1:14" s="199" customFormat="1" ht="30.75" customHeight="1" x14ac:dyDescent="0.25">
      <c r="A54" s="194"/>
      <c r="B54" s="195" t="s">
        <v>38</v>
      </c>
      <c r="C54" s="195" t="s">
        <v>39</v>
      </c>
      <c r="D54" s="201"/>
      <c r="E54" s="201"/>
      <c r="F54" s="201"/>
      <c r="G54" s="202"/>
      <c r="H54" s="202"/>
      <c r="I54" s="197"/>
      <c r="J54" s="197"/>
      <c r="K54" s="197"/>
      <c r="L54" s="198"/>
      <c r="M54" s="198"/>
      <c r="N54" s="198"/>
    </row>
    <row r="55" spans="1:14" s="57" customFormat="1" x14ac:dyDescent="0.25">
      <c r="A55" s="93" t="s">
        <v>171</v>
      </c>
      <c r="B55" s="93" t="s">
        <v>178</v>
      </c>
      <c r="C55" s="95" t="s">
        <v>39</v>
      </c>
      <c r="D55" s="233">
        <v>100</v>
      </c>
      <c r="E55" s="96">
        <f t="shared" ref="E55:E59" si="31">ROUND(D55*$B$8*$B$9,2)</f>
        <v>92.73</v>
      </c>
      <c r="F55" s="233">
        <v>100</v>
      </c>
      <c r="G55" s="97">
        <f t="shared" ref="G55:G59" si="32">IFERROR(ROUND((F55/E55)-1,3),0)</f>
        <v>7.8E-2</v>
      </c>
      <c r="H55" s="97">
        <f t="shared" ref="H55:H59" si="33">ROUND(IFERROR((F55/D55)-1,0),3)</f>
        <v>0</v>
      </c>
      <c r="I55" s="234">
        <v>100</v>
      </c>
      <c r="J55" s="234">
        <v>10</v>
      </c>
      <c r="K55" s="234">
        <v>5</v>
      </c>
      <c r="L55" s="98">
        <f t="shared" ref="L55:M59" si="34">IFERROR(ROUND(((E55*$I55)+(E55*$J55*0.8)+(E55*$K55*0.9)),2),0)</f>
        <v>10432.129999999999</v>
      </c>
      <c r="M55" s="98">
        <f t="shared" si="34"/>
        <v>11250</v>
      </c>
      <c r="N55" s="98">
        <f t="shared" ref="N55:N59" si="35">ROUND(M55-L55,2)</f>
        <v>817.87</v>
      </c>
    </row>
    <row r="56" spans="1:14" s="57" customFormat="1" x14ac:dyDescent="0.25">
      <c r="A56" s="93"/>
      <c r="B56" s="93"/>
      <c r="C56" s="95"/>
      <c r="D56" s="233"/>
      <c r="E56" s="96">
        <f t="shared" si="31"/>
        <v>0</v>
      </c>
      <c r="F56" s="233"/>
      <c r="G56" s="97">
        <f t="shared" si="32"/>
        <v>0</v>
      </c>
      <c r="H56" s="97">
        <f t="shared" si="33"/>
        <v>0</v>
      </c>
      <c r="I56" s="234"/>
      <c r="J56" s="234"/>
      <c r="K56" s="234"/>
      <c r="L56" s="98">
        <f t="shared" si="34"/>
        <v>0</v>
      </c>
      <c r="M56" s="98">
        <f t="shared" si="34"/>
        <v>0</v>
      </c>
      <c r="N56" s="98">
        <f t="shared" si="35"/>
        <v>0</v>
      </c>
    </row>
    <row r="57" spans="1:14" s="57" customFormat="1" x14ac:dyDescent="0.25">
      <c r="A57" s="93"/>
      <c r="B57" s="93"/>
      <c r="C57" s="95"/>
      <c r="D57" s="233"/>
      <c r="E57" s="96">
        <f t="shared" si="31"/>
        <v>0</v>
      </c>
      <c r="F57" s="233"/>
      <c r="G57" s="97">
        <f t="shared" si="32"/>
        <v>0</v>
      </c>
      <c r="H57" s="97">
        <f t="shared" si="33"/>
        <v>0</v>
      </c>
      <c r="I57" s="234"/>
      <c r="J57" s="234"/>
      <c r="K57" s="234"/>
      <c r="L57" s="98">
        <f t="shared" si="34"/>
        <v>0</v>
      </c>
      <c r="M57" s="98">
        <f t="shared" si="34"/>
        <v>0</v>
      </c>
      <c r="N57" s="98">
        <f t="shared" si="35"/>
        <v>0</v>
      </c>
    </row>
    <row r="58" spans="1:14" s="57" customFormat="1" x14ac:dyDescent="0.25">
      <c r="A58" s="93"/>
      <c r="B58" s="93"/>
      <c r="C58" s="95"/>
      <c r="D58" s="233"/>
      <c r="E58" s="96">
        <f t="shared" si="31"/>
        <v>0</v>
      </c>
      <c r="F58" s="233"/>
      <c r="G58" s="97">
        <f t="shared" si="32"/>
        <v>0</v>
      </c>
      <c r="H58" s="97">
        <f t="shared" si="33"/>
        <v>0</v>
      </c>
      <c r="I58" s="234"/>
      <c r="J58" s="234"/>
      <c r="K58" s="234"/>
      <c r="L58" s="98">
        <f t="shared" si="34"/>
        <v>0</v>
      </c>
      <c r="M58" s="98">
        <f t="shared" si="34"/>
        <v>0</v>
      </c>
      <c r="N58" s="98">
        <f t="shared" si="35"/>
        <v>0</v>
      </c>
    </row>
    <row r="59" spans="1:14" s="57" customFormat="1" x14ac:dyDescent="0.25">
      <c r="A59" s="93"/>
      <c r="B59" s="93"/>
      <c r="C59" s="95"/>
      <c r="D59" s="233"/>
      <c r="E59" s="96">
        <f t="shared" si="31"/>
        <v>0</v>
      </c>
      <c r="F59" s="233"/>
      <c r="G59" s="97">
        <f t="shared" si="32"/>
        <v>0</v>
      </c>
      <c r="H59" s="97">
        <f t="shared" si="33"/>
        <v>0</v>
      </c>
      <c r="I59" s="234"/>
      <c r="J59" s="234"/>
      <c r="K59" s="234"/>
      <c r="L59" s="98">
        <f t="shared" si="34"/>
        <v>0</v>
      </c>
      <c r="M59" s="98">
        <f t="shared" si="34"/>
        <v>0</v>
      </c>
      <c r="N59" s="98">
        <f t="shared" si="35"/>
        <v>0</v>
      </c>
    </row>
    <row r="60" spans="1:14" s="199" customFormat="1" x14ac:dyDescent="0.25">
      <c r="A60" s="194"/>
      <c r="B60" s="195" t="s">
        <v>41</v>
      </c>
      <c r="C60" s="195" t="s">
        <v>42</v>
      </c>
      <c r="D60" s="201"/>
      <c r="E60" s="201"/>
      <c r="F60" s="201"/>
      <c r="G60" s="202"/>
      <c r="H60" s="202"/>
      <c r="I60" s="197"/>
      <c r="J60" s="197"/>
      <c r="K60" s="197"/>
      <c r="L60" s="198"/>
      <c r="M60" s="198"/>
      <c r="N60" s="198"/>
    </row>
    <row r="61" spans="1:14" s="57" customFormat="1" x14ac:dyDescent="0.25">
      <c r="A61" s="93" t="s">
        <v>171</v>
      </c>
      <c r="B61" s="93" t="s">
        <v>179</v>
      </c>
      <c r="C61" s="95" t="s">
        <v>42</v>
      </c>
      <c r="D61" s="233">
        <v>100</v>
      </c>
      <c r="E61" s="96">
        <f t="shared" ref="E61:E65" si="36">ROUND(D61*$B$8*$B$9,2)</f>
        <v>92.73</v>
      </c>
      <c r="F61" s="233">
        <v>100</v>
      </c>
      <c r="G61" s="97">
        <f t="shared" ref="G61:G65" si="37">IFERROR(ROUND((F61/E61)-1,3),0)</f>
        <v>7.8E-2</v>
      </c>
      <c r="H61" s="97">
        <f t="shared" ref="H61:H65" si="38">ROUND(IFERROR((F61/D61)-1,0),3)</f>
        <v>0</v>
      </c>
      <c r="I61" s="234">
        <v>100</v>
      </c>
      <c r="J61" s="234">
        <v>10</v>
      </c>
      <c r="K61" s="234">
        <v>5</v>
      </c>
      <c r="L61" s="98">
        <f t="shared" ref="L61:M65" si="39">IFERROR(ROUND(((E61*$I61)+(E61*$J61*0.8)+(E61*$K61*0.9)),2),0)</f>
        <v>10432.129999999999</v>
      </c>
      <c r="M61" s="98">
        <f t="shared" si="39"/>
        <v>11250</v>
      </c>
      <c r="N61" s="98">
        <f t="shared" ref="N61:N65" si="40">ROUND(M61-L61,2)</f>
        <v>817.87</v>
      </c>
    </row>
    <row r="62" spans="1:14" s="57" customFormat="1" x14ac:dyDescent="0.25">
      <c r="A62" s="93"/>
      <c r="B62" s="93"/>
      <c r="C62" s="95"/>
      <c r="D62" s="233"/>
      <c r="E62" s="96">
        <f t="shared" si="36"/>
        <v>0</v>
      </c>
      <c r="F62" s="233"/>
      <c r="G62" s="97">
        <f t="shared" si="37"/>
        <v>0</v>
      </c>
      <c r="H62" s="97">
        <f t="shared" si="38"/>
        <v>0</v>
      </c>
      <c r="I62" s="234"/>
      <c r="J62" s="234"/>
      <c r="K62" s="234"/>
      <c r="L62" s="98">
        <f t="shared" si="39"/>
        <v>0</v>
      </c>
      <c r="M62" s="98">
        <f t="shared" si="39"/>
        <v>0</v>
      </c>
      <c r="N62" s="98">
        <f t="shared" si="40"/>
        <v>0</v>
      </c>
    </row>
    <row r="63" spans="1:14" s="57" customFormat="1" x14ac:dyDescent="0.25">
      <c r="A63" s="93"/>
      <c r="B63" s="93"/>
      <c r="C63" s="95"/>
      <c r="D63" s="233"/>
      <c r="E63" s="96">
        <f t="shared" si="36"/>
        <v>0</v>
      </c>
      <c r="F63" s="233"/>
      <c r="G63" s="97">
        <f t="shared" si="37"/>
        <v>0</v>
      </c>
      <c r="H63" s="97">
        <f t="shared" si="38"/>
        <v>0</v>
      </c>
      <c r="I63" s="234"/>
      <c r="J63" s="234"/>
      <c r="K63" s="234"/>
      <c r="L63" s="98">
        <f t="shared" si="39"/>
        <v>0</v>
      </c>
      <c r="M63" s="98">
        <f t="shared" si="39"/>
        <v>0</v>
      </c>
      <c r="N63" s="98">
        <f t="shared" si="40"/>
        <v>0</v>
      </c>
    </row>
    <row r="64" spans="1:14" s="57" customFormat="1" x14ac:dyDescent="0.25">
      <c r="A64" s="93"/>
      <c r="B64" s="93"/>
      <c r="C64" s="95"/>
      <c r="D64" s="233"/>
      <c r="E64" s="96">
        <f t="shared" si="36"/>
        <v>0</v>
      </c>
      <c r="F64" s="233"/>
      <c r="G64" s="97">
        <f t="shared" si="37"/>
        <v>0</v>
      </c>
      <c r="H64" s="97">
        <f t="shared" si="38"/>
        <v>0</v>
      </c>
      <c r="I64" s="234"/>
      <c r="J64" s="234"/>
      <c r="K64" s="234"/>
      <c r="L64" s="98">
        <f t="shared" si="39"/>
        <v>0</v>
      </c>
      <c r="M64" s="98">
        <f t="shared" si="39"/>
        <v>0</v>
      </c>
      <c r="N64" s="98">
        <f t="shared" si="40"/>
        <v>0</v>
      </c>
    </row>
    <row r="65" spans="1:15" s="57" customFormat="1" x14ac:dyDescent="0.25">
      <c r="A65" s="93"/>
      <c r="B65" s="93"/>
      <c r="C65" s="95"/>
      <c r="D65" s="233"/>
      <c r="E65" s="96">
        <f t="shared" si="36"/>
        <v>0</v>
      </c>
      <c r="F65" s="233"/>
      <c r="G65" s="97">
        <f t="shared" si="37"/>
        <v>0</v>
      </c>
      <c r="H65" s="97">
        <f t="shared" si="38"/>
        <v>0</v>
      </c>
      <c r="I65" s="234"/>
      <c r="J65" s="234"/>
      <c r="K65" s="234"/>
      <c r="L65" s="98">
        <f t="shared" si="39"/>
        <v>0</v>
      </c>
      <c r="M65" s="98">
        <f t="shared" si="39"/>
        <v>0</v>
      </c>
      <c r="N65" s="98">
        <f t="shared" si="40"/>
        <v>0</v>
      </c>
    </row>
    <row r="66" spans="1:15" s="199" customFormat="1" ht="30" x14ac:dyDescent="0.25">
      <c r="A66" s="194"/>
      <c r="B66" s="195" t="s">
        <v>43</v>
      </c>
      <c r="C66" s="195" t="s">
        <v>44</v>
      </c>
      <c r="D66" s="201"/>
      <c r="E66" s="201"/>
      <c r="F66" s="201"/>
      <c r="G66" s="202"/>
      <c r="H66" s="202"/>
      <c r="I66" s="197"/>
      <c r="J66" s="197"/>
      <c r="K66" s="197"/>
      <c r="L66" s="198"/>
      <c r="M66" s="198"/>
      <c r="N66" s="198"/>
    </row>
    <row r="67" spans="1:15" s="57" customFormat="1" ht="30" x14ac:dyDescent="0.25">
      <c r="A67" s="93" t="s">
        <v>171</v>
      </c>
      <c r="B67" s="94" t="s">
        <v>180</v>
      </c>
      <c r="C67" s="95" t="s">
        <v>44</v>
      </c>
      <c r="D67" s="96">
        <v>100</v>
      </c>
      <c r="E67" s="96">
        <f t="shared" ref="E67:E71" si="41">ROUND(D67*$B$8*$B$9,2)</f>
        <v>92.73</v>
      </c>
      <c r="F67" s="96">
        <v>100</v>
      </c>
      <c r="G67" s="97">
        <f t="shared" ref="G67:G71" si="42">IFERROR(ROUND((F67/E67)-1,3),0)</f>
        <v>7.8E-2</v>
      </c>
      <c r="H67" s="97">
        <f t="shared" ref="H67:H71" si="43">ROUND(IFERROR((F67/D67)-1,0),3)</f>
        <v>0</v>
      </c>
      <c r="I67" s="234">
        <v>100</v>
      </c>
      <c r="J67" s="234">
        <v>10</v>
      </c>
      <c r="K67" s="234">
        <v>5</v>
      </c>
      <c r="L67" s="98">
        <f t="shared" ref="L67:M71" si="44">IFERROR(ROUND(((E67*$I67)+(E67*$J67*0.8)+(E67*$K67*0.9)),2),0)</f>
        <v>10432.129999999999</v>
      </c>
      <c r="M67" s="98">
        <f t="shared" si="44"/>
        <v>11250</v>
      </c>
      <c r="N67" s="98">
        <f t="shared" ref="N67:N71" si="45">ROUND(M67-L67,2)</f>
        <v>817.87</v>
      </c>
    </row>
    <row r="68" spans="1:15" s="57" customFormat="1" x14ac:dyDescent="0.25">
      <c r="A68" s="93"/>
      <c r="B68" s="93"/>
      <c r="C68" s="95"/>
      <c r="D68" s="233"/>
      <c r="E68" s="96">
        <f t="shared" si="41"/>
        <v>0</v>
      </c>
      <c r="F68" s="233"/>
      <c r="G68" s="97">
        <f t="shared" si="42"/>
        <v>0</v>
      </c>
      <c r="H68" s="97">
        <f t="shared" si="43"/>
        <v>0</v>
      </c>
      <c r="I68" s="234"/>
      <c r="J68" s="234"/>
      <c r="K68" s="234"/>
      <c r="L68" s="98">
        <f t="shared" si="44"/>
        <v>0</v>
      </c>
      <c r="M68" s="98">
        <f t="shared" si="44"/>
        <v>0</v>
      </c>
      <c r="N68" s="98">
        <f t="shared" si="45"/>
        <v>0</v>
      </c>
    </row>
    <row r="69" spans="1:15" s="57" customFormat="1" x14ac:dyDescent="0.25">
      <c r="A69" s="93"/>
      <c r="B69" s="93"/>
      <c r="C69" s="95"/>
      <c r="D69" s="233"/>
      <c r="E69" s="96">
        <f t="shared" si="41"/>
        <v>0</v>
      </c>
      <c r="F69" s="233"/>
      <c r="G69" s="97">
        <f t="shared" si="42"/>
        <v>0</v>
      </c>
      <c r="H69" s="97">
        <f t="shared" si="43"/>
        <v>0</v>
      </c>
      <c r="I69" s="234"/>
      <c r="J69" s="234"/>
      <c r="K69" s="234"/>
      <c r="L69" s="98">
        <f t="shared" si="44"/>
        <v>0</v>
      </c>
      <c r="M69" s="98">
        <f t="shared" si="44"/>
        <v>0</v>
      </c>
      <c r="N69" s="98">
        <f t="shared" si="45"/>
        <v>0</v>
      </c>
    </row>
    <row r="70" spans="1:15" s="57" customFormat="1" x14ac:dyDescent="0.25">
      <c r="A70" s="93"/>
      <c r="B70" s="93"/>
      <c r="C70" s="95"/>
      <c r="D70" s="233"/>
      <c r="E70" s="96">
        <f t="shared" si="41"/>
        <v>0</v>
      </c>
      <c r="F70" s="233"/>
      <c r="G70" s="97">
        <f t="shared" si="42"/>
        <v>0</v>
      </c>
      <c r="H70" s="97">
        <f t="shared" si="43"/>
        <v>0</v>
      </c>
      <c r="I70" s="234"/>
      <c r="J70" s="234"/>
      <c r="K70" s="234"/>
      <c r="L70" s="98">
        <f t="shared" si="44"/>
        <v>0</v>
      </c>
      <c r="M70" s="98">
        <f t="shared" si="44"/>
        <v>0</v>
      </c>
      <c r="N70" s="98">
        <f t="shared" si="45"/>
        <v>0</v>
      </c>
    </row>
    <row r="71" spans="1:15" s="57" customFormat="1" x14ac:dyDescent="0.25">
      <c r="A71" s="93"/>
      <c r="B71" s="93"/>
      <c r="C71" s="95"/>
      <c r="D71" s="233"/>
      <c r="E71" s="96">
        <f t="shared" si="41"/>
        <v>0</v>
      </c>
      <c r="F71" s="233"/>
      <c r="G71" s="97">
        <f t="shared" si="42"/>
        <v>0</v>
      </c>
      <c r="H71" s="97">
        <f t="shared" si="43"/>
        <v>0</v>
      </c>
      <c r="I71" s="234"/>
      <c r="J71" s="234"/>
      <c r="K71" s="234"/>
      <c r="L71" s="98">
        <f t="shared" si="44"/>
        <v>0</v>
      </c>
      <c r="M71" s="98">
        <f t="shared" si="44"/>
        <v>0</v>
      </c>
      <c r="N71" s="98">
        <f t="shared" si="45"/>
        <v>0</v>
      </c>
    </row>
    <row r="72" spans="1:15" s="199" customFormat="1" ht="30" x14ac:dyDescent="0.25">
      <c r="A72" s="194"/>
      <c r="B72" s="195" t="s">
        <v>52</v>
      </c>
      <c r="C72" s="195" t="s">
        <v>53</v>
      </c>
      <c r="D72" s="201"/>
      <c r="E72" s="201"/>
      <c r="F72" s="201"/>
      <c r="G72" s="202"/>
      <c r="H72" s="202"/>
      <c r="I72" s="197"/>
      <c r="J72" s="197"/>
      <c r="K72" s="197"/>
      <c r="L72" s="198"/>
      <c r="M72" s="198"/>
      <c r="N72" s="198"/>
    </row>
    <row r="73" spans="1:15" s="57" customFormat="1" x14ac:dyDescent="0.25">
      <c r="A73" s="93" t="s">
        <v>171</v>
      </c>
      <c r="B73" s="93" t="s">
        <v>181</v>
      </c>
      <c r="C73" s="95" t="s">
        <v>53</v>
      </c>
      <c r="D73" s="233">
        <v>100</v>
      </c>
      <c r="E73" s="96">
        <f t="shared" ref="E73:E77" si="46">ROUND(D73*$B$8*$B$9,2)</f>
        <v>92.73</v>
      </c>
      <c r="F73" s="233">
        <v>100</v>
      </c>
      <c r="G73" s="97">
        <f t="shared" ref="G73:G77" si="47">IFERROR(ROUND((F73/E73)-1,3),0)</f>
        <v>7.8E-2</v>
      </c>
      <c r="H73" s="97">
        <f t="shared" ref="H73:H77" si="48">ROUND(IFERROR((F73/D73)-1,0),3)</f>
        <v>0</v>
      </c>
      <c r="I73" s="234">
        <v>100</v>
      </c>
      <c r="J73" s="234">
        <v>10</v>
      </c>
      <c r="K73" s="234">
        <v>5</v>
      </c>
      <c r="L73" s="98">
        <f t="shared" ref="L73:M77" si="49">IFERROR(ROUND(((E73*$I73)+(E73*$J73*0.8)+(E73*$K73*0.9)),2),0)</f>
        <v>10432.129999999999</v>
      </c>
      <c r="M73" s="98">
        <f t="shared" si="49"/>
        <v>11250</v>
      </c>
      <c r="N73" s="98">
        <f t="shared" ref="N73:N77" si="50">ROUND(M73-L73,2)</f>
        <v>817.87</v>
      </c>
    </row>
    <row r="74" spans="1:15" s="57" customFormat="1" x14ac:dyDescent="0.25">
      <c r="A74" s="93"/>
      <c r="B74" s="93"/>
      <c r="C74" s="95"/>
      <c r="D74" s="233"/>
      <c r="E74" s="96">
        <f t="shared" si="46"/>
        <v>0</v>
      </c>
      <c r="F74" s="233"/>
      <c r="G74" s="97">
        <f t="shared" si="47"/>
        <v>0</v>
      </c>
      <c r="H74" s="97">
        <f t="shared" si="48"/>
        <v>0</v>
      </c>
      <c r="I74" s="234"/>
      <c r="J74" s="234"/>
      <c r="K74" s="234"/>
      <c r="L74" s="98">
        <f t="shared" si="49"/>
        <v>0</v>
      </c>
      <c r="M74" s="98">
        <f t="shared" si="49"/>
        <v>0</v>
      </c>
      <c r="N74" s="98">
        <f t="shared" si="50"/>
        <v>0</v>
      </c>
    </row>
    <row r="75" spans="1:15" s="57" customFormat="1" x14ac:dyDescent="0.25">
      <c r="A75" s="93"/>
      <c r="B75" s="93"/>
      <c r="C75" s="95"/>
      <c r="D75" s="233"/>
      <c r="E75" s="96">
        <f t="shared" si="46"/>
        <v>0</v>
      </c>
      <c r="F75" s="233"/>
      <c r="G75" s="97">
        <f t="shared" si="47"/>
        <v>0</v>
      </c>
      <c r="H75" s="97">
        <f t="shared" si="48"/>
        <v>0</v>
      </c>
      <c r="I75" s="234"/>
      <c r="J75" s="234"/>
      <c r="K75" s="234"/>
      <c r="L75" s="98">
        <f t="shared" si="49"/>
        <v>0</v>
      </c>
      <c r="M75" s="98">
        <f t="shared" si="49"/>
        <v>0</v>
      </c>
      <c r="N75" s="98">
        <f t="shared" si="50"/>
        <v>0</v>
      </c>
    </row>
    <row r="76" spans="1:15" s="57" customFormat="1" x14ac:dyDescent="0.25">
      <c r="A76" s="93"/>
      <c r="B76" s="93"/>
      <c r="C76" s="95"/>
      <c r="D76" s="233"/>
      <c r="E76" s="96">
        <f t="shared" si="46"/>
        <v>0</v>
      </c>
      <c r="F76" s="233"/>
      <c r="G76" s="97">
        <f t="shared" si="47"/>
        <v>0</v>
      </c>
      <c r="H76" s="97">
        <f t="shared" si="48"/>
        <v>0</v>
      </c>
      <c r="I76" s="234"/>
      <c r="J76" s="234"/>
      <c r="K76" s="234"/>
      <c r="L76" s="98">
        <f t="shared" si="49"/>
        <v>0</v>
      </c>
      <c r="M76" s="98">
        <f t="shared" si="49"/>
        <v>0</v>
      </c>
      <c r="N76" s="98">
        <f t="shared" si="50"/>
        <v>0</v>
      </c>
    </row>
    <row r="77" spans="1:15" s="57" customFormat="1" x14ac:dyDescent="0.25">
      <c r="A77" s="93"/>
      <c r="B77" s="93"/>
      <c r="C77" s="95"/>
      <c r="D77" s="233"/>
      <c r="E77" s="96">
        <f t="shared" si="46"/>
        <v>0</v>
      </c>
      <c r="F77" s="233"/>
      <c r="G77" s="97">
        <f t="shared" si="47"/>
        <v>0</v>
      </c>
      <c r="H77" s="97">
        <f t="shared" si="48"/>
        <v>0</v>
      </c>
      <c r="I77" s="234"/>
      <c r="J77" s="234"/>
      <c r="K77" s="234"/>
      <c r="L77" s="98">
        <f t="shared" si="49"/>
        <v>0</v>
      </c>
      <c r="M77" s="98">
        <f t="shared" si="49"/>
        <v>0</v>
      </c>
      <c r="N77" s="98">
        <f t="shared" si="50"/>
        <v>0</v>
      </c>
    </row>
    <row r="78" spans="1:15" s="57" customFormat="1" x14ac:dyDescent="0.25">
      <c r="A78" s="146"/>
      <c r="C78" s="80"/>
      <c r="D78" s="147"/>
      <c r="E78" s="147"/>
      <c r="F78" s="147"/>
      <c r="G78" s="148"/>
      <c r="H78" s="148"/>
      <c r="I78" s="149"/>
      <c r="J78" s="149"/>
      <c r="K78" s="149"/>
      <c r="L78" s="150"/>
      <c r="M78" s="150"/>
      <c r="N78" s="150"/>
    </row>
    <row r="79" spans="1:15" s="57" customFormat="1" x14ac:dyDescent="0.25">
      <c r="A79" s="146"/>
      <c r="C79" s="80"/>
      <c r="D79" s="147"/>
      <c r="E79" s="147"/>
      <c r="F79" s="147"/>
      <c r="G79" s="148"/>
      <c r="H79" s="148"/>
      <c r="I79" s="149"/>
      <c r="J79" s="149"/>
      <c r="K79" s="149"/>
      <c r="L79" s="150"/>
      <c r="M79" s="150"/>
      <c r="N79" s="150"/>
    </row>
    <row r="80" spans="1:15" ht="15.75" thickBot="1" x14ac:dyDescent="0.3">
      <c r="M80" s="72"/>
      <c r="N80" s="72"/>
      <c r="O80" s="72"/>
    </row>
    <row r="81" spans="1:15" ht="14.45" customHeight="1" x14ac:dyDescent="0.25">
      <c r="A81" s="347" t="s">
        <v>15</v>
      </c>
      <c r="B81" s="348"/>
      <c r="C81" s="348"/>
      <c r="D81" s="348"/>
      <c r="E81" s="348"/>
      <c r="F81" s="348"/>
      <c r="G81" s="348"/>
      <c r="H81" s="348"/>
      <c r="I81" s="348"/>
      <c r="J81" s="348"/>
      <c r="K81" s="348"/>
      <c r="L81" s="349"/>
      <c r="M81" s="70"/>
      <c r="N81" s="70"/>
      <c r="O81" s="70"/>
    </row>
    <row r="82" spans="1:15" ht="14.45" customHeight="1" thickBot="1" x14ac:dyDescent="0.3">
      <c r="A82" s="350"/>
      <c r="B82" s="351"/>
      <c r="C82" s="351"/>
      <c r="D82" s="351"/>
      <c r="E82" s="351"/>
      <c r="F82" s="351"/>
      <c r="G82" s="351"/>
      <c r="H82" s="351"/>
      <c r="I82" s="351"/>
      <c r="J82" s="351"/>
      <c r="K82" s="351"/>
      <c r="L82" s="352"/>
      <c r="M82" s="70"/>
      <c r="N82" s="70"/>
      <c r="O82" s="70"/>
    </row>
    <row r="83" spans="1:15" s="73" customFormat="1" ht="14.45" customHeight="1" x14ac:dyDescent="0.2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1:15" ht="15.75" x14ac:dyDescent="0.25">
      <c r="D84" s="101"/>
      <c r="E84" s="101"/>
      <c r="F84" s="101"/>
      <c r="G84" s="101"/>
      <c r="H84" s="101"/>
      <c r="I84" s="81"/>
      <c r="J84" s="346" t="s">
        <v>12</v>
      </c>
      <c r="K84" s="346"/>
      <c r="L84" s="346"/>
      <c r="M84" s="83"/>
    </row>
    <row r="85" spans="1:15" ht="125.25" customHeight="1" x14ac:dyDescent="0.25">
      <c r="A85" s="84" t="s">
        <v>18</v>
      </c>
      <c r="B85" s="84" t="s">
        <v>14</v>
      </c>
      <c r="C85" s="85" t="s">
        <v>1</v>
      </c>
      <c r="D85" s="291" t="s">
        <v>140</v>
      </c>
      <c r="E85" s="291" t="s">
        <v>135</v>
      </c>
      <c r="F85" s="291" t="s">
        <v>136</v>
      </c>
      <c r="G85" s="291" t="s">
        <v>137</v>
      </c>
      <c r="H85" s="291" t="s">
        <v>63</v>
      </c>
      <c r="I85" s="294" t="s">
        <v>141</v>
      </c>
      <c r="J85" s="293" t="s">
        <v>138</v>
      </c>
      <c r="K85" s="293" t="s">
        <v>22</v>
      </c>
      <c r="L85" s="291" t="s">
        <v>142</v>
      </c>
    </row>
    <row r="86" spans="1:15" x14ac:dyDescent="0.25">
      <c r="A86" s="102"/>
      <c r="B86" s="103"/>
      <c r="C86" s="104" t="str">
        <f>"Col "&amp;COLUMN(C86)+36</f>
        <v>Col 39</v>
      </c>
      <c r="D86" s="104" t="str">
        <f t="shared" ref="D86:L86" si="51">"Col "&amp;COLUMN(D86)+36</f>
        <v>Col 40</v>
      </c>
      <c r="E86" s="104" t="str">
        <f t="shared" si="51"/>
        <v>Col 41</v>
      </c>
      <c r="F86" s="104" t="str">
        <f t="shared" si="51"/>
        <v>Col 42</v>
      </c>
      <c r="G86" s="104" t="str">
        <f t="shared" si="51"/>
        <v>Col 43</v>
      </c>
      <c r="H86" s="104" t="str">
        <f t="shared" si="51"/>
        <v>Col 44</v>
      </c>
      <c r="I86" s="104" t="str">
        <f t="shared" si="51"/>
        <v>Col 45</v>
      </c>
      <c r="J86" s="104" t="str">
        <f t="shared" si="51"/>
        <v>Col 46</v>
      </c>
      <c r="K86" s="104" t="str">
        <f t="shared" si="51"/>
        <v>Col 47</v>
      </c>
      <c r="L86" s="104" t="str">
        <f t="shared" si="51"/>
        <v>Col 48</v>
      </c>
    </row>
    <row r="87" spans="1:15" ht="158.25" customHeight="1" x14ac:dyDescent="0.25">
      <c r="A87" s="84" t="s">
        <v>2</v>
      </c>
      <c r="B87" s="84" t="s">
        <v>2</v>
      </c>
      <c r="C87" s="105" t="s">
        <v>2</v>
      </c>
      <c r="D87" s="86" t="s">
        <v>2</v>
      </c>
      <c r="E87" s="299" t="str">
        <f>D86&amp;" X Category Relationship Unfreeze Factor X Net Contributor or Net Recipient Factor"</f>
        <v>Col 40 X Category Relationship Unfreeze Factor X Net Contributor or Net Recipient Factor</v>
      </c>
      <c r="F87" s="86" t="s">
        <v>2</v>
      </c>
      <c r="G87" s="86" t="str">
        <f>"("&amp;F86&amp;" / "&amp;E86&amp;") - 1"</f>
        <v>(Col 42 / Col 41) - 1</v>
      </c>
      <c r="H87" s="86" t="str">
        <f>"("&amp;F86&amp;" / "&amp;D86&amp;") - 1"</f>
        <v>(Col 42 / Col 40) - 1</v>
      </c>
      <c r="I87" s="86" t="s">
        <v>2</v>
      </c>
      <c r="J87" s="106" t="str">
        <f>E86&amp;" X "&amp;I86</f>
        <v>Col 41 X Col 45</v>
      </c>
      <c r="K87" s="106" t="str">
        <f>F86&amp;" X "&amp;I86</f>
        <v>Col 42 X Col 45</v>
      </c>
      <c r="L87" s="107" t="str">
        <f>K86&amp;" - "&amp;J86</f>
        <v>Col 47 - Col 46</v>
      </c>
    </row>
    <row r="88" spans="1:15" s="207" customFormat="1" ht="32.25" customHeight="1" x14ac:dyDescent="0.25">
      <c r="A88" s="194"/>
      <c r="B88" s="195" t="s">
        <v>33</v>
      </c>
      <c r="C88" s="195" t="s">
        <v>27</v>
      </c>
      <c r="D88" s="203"/>
      <c r="E88" s="203"/>
      <c r="F88" s="203"/>
      <c r="G88" s="203"/>
      <c r="H88" s="203"/>
      <c r="I88" s="204"/>
      <c r="J88" s="205"/>
      <c r="K88" s="205"/>
      <c r="L88" s="205"/>
    </row>
    <row r="89" spans="1:15" s="73" customFormat="1" x14ac:dyDescent="0.25">
      <c r="A89" s="93" t="s">
        <v>171</v>
      </c>
      <c r="B89" s="93" t="s">
        <v>182</v>
      </c>
      <c r="C89" s="95" t="s">
        <v>27</v>
      </c>
      <c r="D89" s="190">
        <v>100</v>
      </c>
      <c r="E89" s="96">
        <f t="shared" ref="E89:E93" si="52">ROUND(D89*$B$8*$B$9,2)</f>
        <v>92.73</v>
      </c>
      <c r="F89" s="190">
        <v>100</v>
      </c>
      <c r="G89" s="97">
        <f>IFERROR(ROUND((F89/E89)-1,3),0)</f>
        <v>7.8E-2</v>
      </c>
      <c r="H89" s="97">
        <f>IFERROR(ROUND((F89/D89)-1,3),0)</f>
        <v>0</v>
      </c>
      <c r="I89" s="200">
        <v>100</v>
      </c>
      <c r="J89" s="108">
        <f>ROUND(E89*$I89,2)</f>
        <v>9273</v>
      </c>
      <c r="K89" s="108">
        <f>ROUND(F89*$I89,2)</f>
        <v>10000</v>
      </c>
      <c r="L89" s="108">
        <f>ROUND(K89-J89,2)</f>
        <v>727</v>
      </c>
    </row>
    <row r="90" spans="1:15" s="73" customFormat="1" x14ac:dyDescent="0.25">
      <c r="A90" s="93"/>
      <c r="B90" s="93"/>
      <c r="C90" s="95"/>
      <c r="D90" s="190"/>
      <c r="E90" s="96">
        <f t="shared" si="52"/>
        <v>0</v>
      </c>
      <c r="F90" s="190"/>
      <c r="G90" s="97">
        <f>IFERROR(ROUND((F90/E90)-1,3),0)</f>
        <v>0</v>
      </c>
      <c r="H90" s="97">
        <f>IFERROR(ROUND((F90/D90)-1,3),0)</f>
        <v>0</v>
      </c>
      <c r="I90" s="200"/>
      <c r="J90" s="108">
        <f>ROUND(E90*$I90,2)</f>
        <v>0</v>
      </c>
      <c r="K90" s="108">
        <f>ROUND(F90*$I90,2)</f>
        <v>0</v>
      </c>
      <c r="L90" s="108">
        <f>ROUND(K90-J90,2)</f>
        <v>0</v>
      </c>
    </row>
    <row r="91" spans="1:15" x14ac:dyDescent="0.25">
      <c r="A91" s="93"/>
      <c r="B91" s="93"/>
      <c r="C91" s="95"/>
      <c r="D91" s="190"/>
      <c r="E91" s="96">
        <f t="shared" si="52"/>
        <v>0</v>
      </c>
      <c r="F91" s="190"/>
      <c r="G91" s="97">
        <f t="shared" ref="G91:G93" si="53">IFERROR(ROUND((F91/E91)-1,3),0)</f>
        <v>0</v>
      </c>
      <c r="H91" s="97">
        <f t="shared" ref="H91:H93" si="54">IFERROR(ROUND((F91/D91)-1,3),0)</f>
        <v>0</v>
      </c>
      <c r="I91" s="200"/>
      <c r="J91" s="108">
        <f t="shared" ref="J91:K93" si="55">ROUND(E91*$I91,2)</f>
        <v>0</v>
      </c>
      <c r="K91" s="108">
        <f t="shared" si="55"/>
        <v>0</v>
      </c>
      <c r="L91" s="108">
        <f t="shared" ref="L91:L93" si="56">ROUND(K91-J91,2)</f>
        <v>0</v>
      </c>
      <c r="M91" s="99"/>
    </row>
    <row r="92" spans="1:15" x14ac:dyDescent="0.25">
      <c r="A92" s="93"/>
      <c r="B92" s="93"/>
      <c r="C92" s="95"/>
      <c r="D92" s="190"/>
      <c r="E92" s="96">
        <f t="shared" si="52"/>
        <v>0</v>
      </c>
      <c r="F92" s="190"/>
      <c r="G92" s="97">
        <f t="shared" si="53"/>
        <v>0</v>
      </c>
      <c r="H92" s="97">
        <f t="shared" si="54"/>
        <v>0</v>
      </c>
      <c r="I92" s="200"/>
      <c r="J92" s="108">
        <f t="shared" si="55"/>
        <v>0</v>
      </c>
      <c r="K92" s="108">
        <f t="shared" si="55"/>
        <v>0</v>
      </c>
      <c r="L92" s="108">
        <f t="shared" si="56"/>
        <v>0</v>
      </c>
      <c r="M92" s="99"/>
    </row>
    <row r="93" spans="1:15" x14ac:dyDescent="0.25">
      <c r="A93" s="93"/>
      <c r="B93" s="93"/>
      <c r="C93" s="95"/>
      <c r="D93" s="190"/>
      <c r="E93" s="96">
        <f t="shared" si="52"/>
        <v>0</v>
      </c>
      <c r="F93" s="190"/>
      <c r="G93" s="97">
        <f t="shared" si="53"/>
        <v>0</v>
      </c>
      <c r="H93" s="97">
        <f t="shared" si="54"/>
        <v>0</v>
      </c>
      <c r="I93" s="200"/>
      <c r="J93" s="108">
        <f t="shared" si="55"/>
        <v>0</v>
      </c>
      <c r="K93" s="108">
        <f t="shared" si="55"/>
        <v>0</v>
      </c>
      <c r="L93" s="108">
        <f t="shared" si="56"/>
        <v>0</v>
      </c>
      <c r="M93" s="99"/>
    </row>
    <row r="94" spans="1:15" s="207" customFormat="1" ht="30" customHeight="1" x14ac:dyDescent="0.25">
      <c r="A94" s="194"/>
      <c r="B94" s="195" t="s">
        <v>32</v>
      </c>
      <c r="C94" s="195" t="s">
        <v>28</v>
      </c>
      <c r="D94" s="208"/>
      <c r="E94" s="208"/>
      <c r="F94" s="208"/>
      <c r="G94" s="208"/>
      <c r="H94" s="208"/>
      <c r="I94" s="209"/>
      <c r="J94" s="210"/>
      <c r="K94" s="210"/>
      <c r="L94" s="211"/>
    </row>
    <row r="95" spans="1:15" x14ac:dyDescent="0.25">
      <c r="A95" s="93" t="s">
        <v>171</v>
      </c>
      <c r="B95" s="94" t="s">
        <v>173</v>
      </c>
      <c r="C95" s="95" t="s">
        <v>28</v>
      </c>
      <c r="D95" s="96">
        <v>100</v>
      </c>
      <c r="E95" s="96">
        <f t="shared" ref="E95:E99" si="57">ROUND(D95*$B$8*$B$9,2)</f>
        <v>92.73</v>
      </c>
      <c r="F95" s="96">
        <v>100</v>
      </c>
      <c r="G95" s="97">
        <f>IFERROR(ROUND((F95/E95)-1,3),0)</f>
        <v>7.8E-2</v>
      </c>
      <c r="H95" s="97">
        <f>IFERROR(ROUND((F95/D95)-1,3),0)</f>
        <v>0</v>
      </c>
      <c r="I95" s="200">
        <v>100</v>
      </c>
      <c r="J95" s="108">
        <f>ROUND(E95*$I95,2)</f>
        <v>9273</v>
      </c>
      <c r="K95" s="108">
        <f>ROUND(F95*$I95,2)</f>
        <v>10000</v>
      </c>
      <c r="L95" s="108">
        <f>ROUND(K95-J95,2)</f>
        <v>727</v>
      </c>
    </row>
    <row r="96" spans="1:15" s="73" customFormat="1" x14ac:dyDescent="0.25">
      <c r="A96" s="93"/>
      <c r="B96" s="93"/>
      <c r="C96" s="95"/>
      <c r="D96" s="190"/>
      <c r="E96" s="96">
        <f t="shared" si="57"/>
        <v>0</v>
      </c>
      <c r="F96" s="190"/>
      <c r="G96" s="97">
        <f>IFERROR(ROUND((F96/E96)-1,3),0)</f>
        <v>0</v>
      </c>
      <c r="H96" s="97">
        <f>IFERROR(ROUND((F96/D96)-1,3),0)</f>
        <v>0</v>
      </c>
      <c r="I96" s="200"/>
      <c r="J96" s="108">
        <f>ROUND(E96*$I96,2)</f>
        <v>0</v>
      </c>
      <c r="K96" s="108">
        <f>ROUND(F96*$I96,2)</f>
        <v>0</v>
      </c>
      <c r="L96" s="108">
        <f>ROUND(K96-J96,2)</f>
        <v>0</v>
      </c>
    </row>
    <row r="97" spans="1:13" x14ac:dyDescent="0.25">
      <c r="A97" s="93"/>
      <c r="B97" s="93"/>
      <c r="C97" s="95"/>
      <c r="D97" s="190"/>
      <c r="E97" s="96">
        <f t="shared" si="57"/>
        <v>0</v>
      </c>
      <c r="F97" s="190"/>
      <c r="G97" s="97">
        <f t="shared" ref="G97:G99" si="58">IFERROR(ROUND((F97/E97)-1,3),0)</f>
        <v>0</v>
      </c>
      <c r="H97" s="97">
        <f t="shared" ref="H97:H99" si="59">IFERROR(ROUND((F97/D97)-1,3),0)</f>
        <v>0</v>
      </c>
      <c r="I97" s="200"/>
      <c r="J97" s="108">
        <f t="shared" ref="J97:K99" si="60">ROUND(E97*$I97,2)</f>
        <v>0</v>
      </c>
      <c r="K97" s="108">
        <f t="shared" si="60"/>
        <v>0</v>
      </c>
      <c r="L97" s="108">
        <f t="shared" ref="L97:L99" si="61">ROUND(K97-J97,2)</f>
        <v>0</v>
      </c>
      <c r="M97" s="99"/>
    </row>
    <row r="98" spans="1:13" x14ac:dyDescent="0.25">
      <c r="A98" s="93"/>
      <c r="B98" s="93"/>
      <c r="C98" s="95"/>
      <c r="D98" s="190"/>
      <c r="E98" s="96">
        <f t="shared" si="57"/>
        <v>0</v>
      </c>
      <c r="F98" s="190"/>
      <c r="G98" s="97">
        <f t="shared" si="58"/>
        <v>0</v>
      </c>
      <c r="H98" s="97">
        <f t="shared" si="59"/>
        <v>0</v>
      </c>
      <c r="I98" s="200"/>
      <c r="J98" s="108">
        <f t="shared" si="60"/>
        <v>0</v>
      </c>
      <c r="K98" s="108">
        <f t="shared" si="60"/>
        <v>0</v>
      </c>
      <c r="L98" s="108">
        <f t="shared" si="61"/>
        <v>0</v>
      </c>
      <c r="M98" s="99"/>
    </row>
    <row r="99" spans="1:13" x14ac:dyDescent="0.25">
      <c r="A99" s="93"/>
      <c r="B99" s="93"/>
      <c r="C99" s="95"/>
      <c r="D99" s="190"/>
      <c r="E99" s="96">
        <f t="shared" si="57"/>
        <v>0</v>
      </c>
      <c r="F99" s="190"/>
      <c r="G99" s="97">
        <f t="shared" si="58"/>
        <v>0</v>
      </c>
      <c r="H99" s="97">
        <f t="shared" si="59"/>
        <v>0</v>
      </c>
      <c r="I99" s="200"/>
      <c r="J99" s="108">
        <f t="shared" si="60"/>
        <v>0</v>
      </c>
      <c r="K99" s="108">
        <f t="shared" si="60"/>
        <v>0</v>
      </c>
      <c r="L99" s="108">
        <f t="shared" si="61"/>
        <v>0</v>
      </c>
      <c r="M99" s="99"/>
    </row>
    <row r="100" spans="1:13" s="207" customFormat="1" ht="33.75" customHeight="1" x14ac:dyDescent="0.25">
      <c r="A100" s="194"/>
      <c r="B100" s="195" t="s">
        <v>31</v>
      </c>
      <c r="C100" s="195" t="s">
        <v>29</v>
      </c>
      <c r="D100" s="208"/>
      <c r="E100" s="208"/>
      <c r="F100" s="208"/>
      <c r="G100" s="208"/>
      <c r="H100" s="208"/>
      <c r="I100" s="209"/>
      <c r="J100" s="210"/>
      <c r="K100" s="210"/>
      <c r="L100" s="211"/>
    </row>
    <row r="101" spans="1:13" x14ac:dyDescent="0.25">
      <c r="A101" s="93" t="s">
        <v>171</v>
      </c>
      <c r="B101" s="93" t="s">
        <v>174</v>
      </c>
      <c r="C101" s="95" t="s">
        <v>29</v>
      </c>
      <c r="D101" s="190">
        <v>100</v>
      </c>
      <c r="E101" s="96">
        <f t="shared" ref="E101:E105" si="62">ROUND(D101*$B$8*$B$9,2)</f>
        <v>92.73</v>
      </c>
      <c r="F101" s="190">
        <v>100</v>
      </c>
      <c r="G101" s="97">
        <f t="shared" ref="G101" si="63">IFERROR(ROUND((F101/E101)-1,3),0)</f>
        <v>7.8E-2</v>
      </c>
      <c r="H101" s="97">
        <f t="shared" ref="H101" si="64">IFERROR(ROUND((F101/D101)-1,3),0)</f>
        <v>0</v>
      </c>
      <c r="I101" s="200">
        <v>100</v>
      </c>
      <c r="J101" s="108">
        <f t="shared" ref="J101:K101" si="65">ROUND(E101*$I101,2)</f>
        <v>9273</v>
      </c>
      <c r="K101" s="108">
        <f t="shared" si="65"/>
        <v>10000</v>
      </c>
      <c r="L101" s="108">
        <f t="shared" ref="L101" si="66">ROUND(K101-J101,2)</f>
        <v>727</v>
      </c>
    </row>
    <row r="102" spans="1:13" s="73" customFormat="1" x14ac:dyDescent="0.25">
      <c r="A102" s="93"/>
      <c r="B102" s="93"/>
      <c r="C102" s="95"/>
      <c r="D102" s="190"/>
      <c r="E102" s="96">
        <f t="shared" si="62"/>
        <v>0</v>
      </c>
      <c r="F102" s="190"/>
      <c r="G102" s="97">
        <f>IFERROR(ROUND((F102/E102)-1,3),0)</f>
        <v>0</v>
      </c>
      <c r="H102" s="97">
        <f>IFERROR(ROUND((F102/D102)-1,3),0)</f>
        <v>0</v>
      </c>
      <c r="I102" s="200"/>
      <c r="J102" s="108">
        <f>ROUND(E102*$I102,2)</f>
        <v>0</v>
      </c>
      <c r="K102" s="108">
        <f>ROUND(F102*$I102,2)</f>
        <v>0</v>
      </c>
      <c r="L102" s="108">
        <f>ROUND(K102-J102,2)</f>
        <v>0</v>
      </c>
    </row>
    <row r="103" spans="1:13" x14ac:dyDescent="0.25">
      <c r="A103" s="93"/>
      <c r="B103" s="93"/>
      <c r="C103" s="95"/>
      <c r="D103" s="190"/>
      <c r="E103" s="96">
        <f t="shared" si="62"/>
        <v>0</v>
      </c>
      <c r="F103" s="190"/>
      <c r="G103" s="97">
        <f t="shared" ref="G103:G105" si="67">IFERROR(ROUND((F103/E103)-1,3),0)</f>
        <v>0</v>
      </c>
      <c r="H103" s="97">
        <f t="shared" ref="H103:H105" si="68">IFERROR(ROUND((F103/D103)-1,3),0)</f>
        <v>0</v>
      </c>
      <c r="I103" s="200"/>
      <c r="J103" s="108">
        <f t="shared" ref="J103:K105" si="69">ROUND(E103*$I103,2)</f>
        <v>0</v>
      </c>
      <c r="K103" s="108">
        <f t="shared" si="69"/>
        <v>0</v>
      </c>
      <c r="L103" s="108">
        <f t="shared" ref="L103:L105" si="70">ROUND(K103-J103,2)</f>
        <v>0</v>
      </c>
      <c r="M103" s="99"/>
    </row>
    <row r="104" spans="1:13" x14ac:dyDescent="0.25">
      <c r="A104" s="93"/>
      <c r="B104" s="93"/>
      <c r="C104" s="95"/>
      <c r="D104" s="190"/>
      <c r="E104" s="96">
        <f t="shared" si="62"/>
        <v>0</v>
      </c>
      <c r="F104" s="190"/>
      <c r="G104" s="97">
        <f t="shared" si="67"/>
        <v>0</v>
      </c>
      <c r="H104" s="97">
        <f t="shared" si="68"/>
        <v>0</v>
      </c>
      <c r="I104" s="200"/>
      <c r="J104" s="108">
        <f t="shared" si="69"/>
        <v>0</v>
      </c>
      <c r="K104" s="108">
        <f t="shared" si="69"/>
        <v>0</v>
      </c>
      <c r="L104" s="108">
        <f t="shared" si="70"/>
        <v>0</v>
      </c>
      <c r="M104" s="99"/>
    </row>
    <row r="105" spans="1:13" x14ac:dyDescent="0.25">
      <c r="A105" s="93"/>
      <c r="B105" s="93"/>
      <c r="C105" s="95"/>
      <c r="D105" s="190"/>
      <c r="E105" s="96">
        <f t="shared" si="62"/>
        <v>0</v>
      </c>
      <c r="F105" s="190"/>
      <c r="G105" s="97">
        <f t="shared" si="67"/>
        <v>0</v>
      </c>
      <c r="H105" s="97">
        <f t="shared" si="68"/>
        <v>0</v>
      </c>
      <c r="I105" s="200"/>
      <c r="J105" s="108">
        <f t="shared" si="69"/>
        <v>0</v>
      </c>
      <c r="K105" s="108">
        <f t="shared" si="69"/>
        <v>0</v>
      </c>
      <c r="L105" s="108">
        <f t="shared" si="70"/>
        <v>0</v>
      </c>
      <c r="M105" s="99"/>
    </row>
    <row r="106" spans="1:13" s="207" customFormat="1" ht="30" customHeight="1" x14ac:dyDescent="0.25">
      <c r="A106" s="194"/>
      <c r="B106" s="195" t="s">
        <v>30</v>
      </c>
      <c r="C106" s="195" t="s">
        <v>45</v>
      </c>
      <c r="D106" s="208"/>
      <c r="E106" s="208"/>
      <c r="F106" s="208"/>
      <c r="G106" s="208"/>
      <c r="H106" s="208"/>
      <c r="I106" s="209"/>
      <c r="J106" s="210"/>
      <c r="K106" s="210"/>
      <c r="L106" s="211"/>
    </row>
    <row r="107" spans="1:13" x14ac:dyDescent="0.25">
      <c r="A107" s="93" t="s">
        <v>171</v>
      </c>
      <c r="B107" s="93" t="s">
        <v>175</v>
      </c>
      <c r="C107" s="95" t="s">
        <v>45</v>
      </c>
      <c r="D107" s="190">
        <v>100</v>
      </c>
      <c r="E107" s="96">
        <f t="shared" ref="E107:E111" si="71">ROUND(D107*$B$8*$B$9,2)</f>
        <v>92.73</v>
      </c>
      <c r="F107" s="190">
        <v>100</v>
      </c>
      <c r="G107" s="97">
        <f t="shared" ref="G107" si="72">IFERROR(ROUND((F107/E107)-1,3),0)</f>
        <v>7.8E-2</v>
      </c>
      <c r="H107" s="97">
        <f t="shared" ref="H107" si="73">IFERROR(ROUND((F107/D107)-1,3),0)</f>
        <v>0</v>
      </c>
      <c r="I107" s="200">
        <v>100</v>
      </c>
      <c r="J107" s="108">
        <f t="shared" ref="J107:K107" si="74">ROUND(E107*$I107,2)</f>
        <v>9273</v>
      </c>
      <c r="K107" s="108">
        <f t="shared" si="74"/>
        <v>10000</v>
      </c>
      <c r="L107" s="108">
        <f t="shared" ref="L107" si="75">ROUND(K107-J107,2)</f>
        <v>727</v>
      </c>
    </row>
    <row r="108" spans="1:13" s="73" customFormat="1" x14ac:dyDescent="0.25">
      <c r="A108" s="93"/>
      <c r="B108" s="93"/>
      <c r="C108" s="95"/>
      <c r="D108" s="190"/>
      <c r="E108" s="96">
        <f t="shared" si="71"/>
        <v>0</v>
      </c>
      <c r="F108" s="190"/>
      <c r="G108" s="97">
        <f>IFERROR(ROUND((F108/E108)-1,3),0)</f>
        <v>0</v>
      </c>
      <c r="H108" s="97">
        <f>IFERROR(ROUND((F108/D108)-1,3),0)</f>
        <v>0</v>
      </c>
      <c r="I108" s="200"/>
      <c r="J108" s="108">
        <f>ROUND(E108*$I108,2)</f>
        <v>0</v>
      </c>
      <c r="K108" s="108">
        <f>ROUND(F108*$I108,2)</f>
        <v>0</v>
      </c>
      <c r="L108" s="108">
        <f>ROUND(K108-J108,2)</f>
        <v>0</v>
      </c>
    </row>
    <row r="109" spans="1:13" x14ac:dyDescent="0.25">
      <c r="A109" s="93"/>
      <c r="B109" s="93"/>
      <c r="C109" s="95"/>
      <c r="D109" s="190"/>
      <c r="E109" s="96">
        <f t="shared" si="71"/>
        <v>0</v>
      </c>
      <c r="F109" s="190"/>
      <c r="G109" s="97">
        <f t="shared" ref="G109:G111" si="76">IFERROR(ROUND((F109/E109)-1,3),0)</f>
        <v>0</v>
      </c>
      <c r="H109" s="97">
        <f t="shared" ref="H109:H111" si="77">IFERROR(ROUND((F109/D109)-1,3),0)</f>
        <v>0</v>
      </c>
      <c r="I109" s="200"/>
      <c r="J109" s="108">
        <f t="shared" ref="J109:K111" si="78">ROUND(E109*$I109,2)</f>
        <v>0</v>
      </c>
      <c r="K109" s="108">
        <f t="shared" si="78"/>
        <v>0</v>
      </c>
      <c r="L109" s="108">
        <f t="shared" ref="L109:L111" si="79">ROUND(K109-J109,2)</f>
        <v>0</v>
      </c>
      <c r="M109" s="99"/>
    </row>
    <row r="110" spans="1:13" x14ac:dyDescent="0.25">
      <c r="A110" s="93"/>
      <c r="B110" s="93"/>
      <c r="C110" s="95"/>
      <c r="D110" s="190"/>
      <c r="E110" s="96">
        <f t="shared" si="71"/>
        <v>0</v>
      </c>
      <c r="F110" s="190"/>
      <c r="G110" s="97">
        <f t="shared" si="76"/>
        <v>0</v>
      </c>
      <c r="H110" s="97">
        <f t="shared" si="77"/>
        <v>0</v>
      </c>
      <c r="I110" s="200"/>
      <c r="J110" s="108">
        <f t="shared" si="78"/>
        <v>0</v>
      </c>
      <c r="K110" s="108">
        <f t="shared" si="78"/>
        <v>0</v>
      </c>
      <c r="L110" s="108">
        <f t="shared" si="79"/>
        <v>0</v>
      </c>
      <c r="M110" s="99"/>
    </row>
    <row r="111" spans="1:13" x14ac:dyDescent="0.25">
      <c r="A111" s="93"/>
      <c r="B111" s="93"/>
      <c r="C111" s="95"/>
      <c r="D111" s="190"/>
      <c r="E111" s="96">
        <f t="shared" si="71"/>
        <v>0</v>
      </c>
      <c r="F111" s="190"/>
      <c r="G111" s="97">
        <f t="shared" si="76"/>
        <v>0</v>
      </c>
      <c r="H111" s="97">
        <f t="shared" si="77"/>
        <v>0</v>
      </c>
      <c r="I111" s="200"/>
      <c r="J111" s="108">
        <f t="shared" si="78"/>
        <v>0</v>
      </c>
      <c r="K111" s="108">
        <f t="shared" si="78"/>
        <v>0</v>
      </c>
      <c r="L111" s="108">
        <f t="shared" si="79"/>
        <v>0</v>
      </c>
      <c r="M111" s="99"/>
    </row>
    <row r="112" spans="1:13" s="207" customFormat="1" x14ac:dyDescent="0.25">
      <c r="A112" s="194"/>
      <c r="B112" s="195" t="s">
        <v>34</v>
      </c>
      <c r="C112" s="195" t="s">
        <v>35</v>
      </c>
      <c r="D112" s="208"/>
      <c r="E112" s="208"/>
      <c r="F112" s="208"/>
      <c r="G112" s="208"/>
      <c r="H112" s="208"/>
      <c r="I112" s="209"/>
      <c r="J112" s="210"/>
      <c r="K112" s="210"/>
      <c r="L112" s="211"/>
    </row>
    <row r="113" spans="1:13" x14ac:dyDescent="0.25">
      <c r="A113" s="93" t="s">
        <v>171</v>
      </c>
      <c r="B113" s="93" t="s">
        <v>176</v>
      </c>
      <c r="C113" s="95" t="s">
        <v>35</v>
      </c>
      <c r="D113" s="190">
        <v>100</v>
      </c>
      <c r="E113" s="96">
        <f t="shared" ref="E113:E117" si="80">ROUND(D113*$B$8*$B$9,2)</f>
        <v>92.73</v>
      </c>
      <c r="F113" s="190">
        <v>100</v>
      </c>
      <c r="G113" s="97">
        <f t="shared" ref="G113" si="81">IFERROR(ROUND((F113/E113)-1,3),0)</f>
        <v>7.8E-2</v>
      </c>
      <c r="H113" s="97">
        <f t="shared" ref="H113" si="82">IFERROR(ROUND((F113/D113)-1,3),0)</f>
        <v>0</v>
      </c>
      <c r="I113" s="200">
        <v>100</v>
      </c>
      <c r="J113" s="108">
        <f t="shared" ref="J113:K113" si="83">ROUND(E113*$I113,2)</f>
        <v>9273</v>
      </c>
      <c r="K113" s="108">
        <f t="shared" si="83"/>
        <v>10000</v>
      </c>
      <c r="L113" s="108">
        <f t="shared" ref="L113" si="84">ROUND(K113-J113,2)</f>
        <v>727</v>
      </c>
    </row>
    <row r="114" spans="1:13" s="73" customFormat="1" x14ac:dyDescent="0.25">
      <c r="A114" s="93"/>
      <c r="B114" s="93"/>
      <c r="C114" s="95"/>
      <c r="D114" s="190"/>
      <c r="E114" s="96">
        <f t="shared" si="80"/>
        <v>0</v>
      </c>
      <c r="F114" s="190"/>
      <c r="G114" s="97">
        <f>IFERROR(ROUND((F114/E114)-1,3),0)</f>
        <v>0</v>
      </c>
      <c r="H114" s="97">
        <f>IFERROR(ROUND((F114/D114)-1,3),0)</f>
        <v>0</v>
      </c>
      <c r="I114" s="200"/>
      <c r="J114" s="108">
        <f>ROUND(E114*$I114,2)</f>
        <v>0</v>
      </c>
      <c r="K114" s="108">
        <f>ROUND(F114*$I114,2)</f>
        <v>0</v>
      </c>
      <c r="L114" s="108">
        <f>ROUND(K114-J114,2)</f>
        <v>0</v>
      </c>
    </row>
    <row r="115" spans="1:13" x14ac:dyDescent="0.25">
      <c r="A115" s="93"/>
      <c r="B115" s="93"/>
      <c r="C115" s="95"/>
      <c r="D115" s="190"/>
      <c r="E115" s="96">
        <f t="shared" si="80"/>
        <v>0</v>
      </c>
      <c r="F115" s="190"/>
      <c r="G115" s="97">
        <f t="shared" ref="G115:G117" si="85">IFERROR(ROUND((F115/E115)-1,3),0)</f>
        <v>0</v>
      </c>
      <c r="H115" s="97">
        <f t="shared" ref="H115:H117" si="86">IFERROR(ROUND((F115/D115)-1,3),0)</f>
        <v>0</v>
      </c>
      <c r="I115" s="200"/>
      <c r="J115" s="108">
        <f t="shared" ref="J115:K117" si="87">ROUND(E115*$I115,2)</f>
        <v>0</v>
      </c>
      <c r="K115" s="108">
        <f t="shared" si="87"/>
        <v>0</v>
      </c>
      <c r="L115" s="108">
        <f t="shared" ref="L115:L117" si="88">ROUND(K115-J115,2)</f>
        <v>0</v>
      </c>
      <c r="M115" s="99"/>
    </row>
    <row r="116" spans="1:13" x14ac:dyDescent="0.25">
      <c r="A116" s="93"/>
      <c r="B116" s="93"/>
      <c r="C116" s="95"/>
      <c r="D116" s="190"/>
      <c r="E116" s="96">
        <f t="shared" si="80"/>
        <v>0</v>
      </c>
      <c r="F116" s="190"/>
      <c r="G116" s="97">
        <f t="shared" si="85"/>
        <v>0</v>
      </c>
      <c r="H116" s="97">
        <f t="shared" si="86"/>
        <v>0</v>
      </c>
      <c r="I116" s="200"/>
      <c r="J116" s="108">
        <f t="shared" si="87"/>
        <v>0</v>
      </c>
      <c r="K116" s="108">
        <f t="shared" si="87"/>
        <v>0</v>
      </c>
      <c r="L116" s="108">
        <f t="shared" si="88"/>
        <v>0</v>
      </c>
      <c r="M116" s="99"/>
    </row>
    <row r="117" spans="1:13" x14ac:dyDescent="0.25">
      <c r="A117" s="93"/>
      <c r="B117" s="93"/>
      <c r="C117" s="95"/>
      <c r="D117" s="190"/>
      <c r="E117" s="96">
        <f t="shared" si="80"/>
        <v>0</v>
      </c>
      <c r="F117" s="190"/>
      <c r="G117" s="97">
        <f t="shared" si="85"/>
        <v>0</v>
      </c>
      <c r="H117" s="97">
        <f t="shared" si="86"/>
        <v>0</v>
      </c>
      <c r="I117" s="200"/>
      <c r="J117" s="108">
        <f t="shared" si="87"/>
        <v>0</v>
      </c>
      <c r="K117" s="108">
        <f t="shared" si="87"/>
        <v>0</v>
      </c>
      <c r="L117" s="108">
        <f t="shared" si="88"/>
        <v>0</v>
      </c>
      <c r="M117" s="99"/>
    </row>
    <row r="118" spans="1:13" s="207" customFormat="1" ht="30" customHeight="1" x14ac:dyDescent="0.25">
      <c r="A118" s="194"/>
      <c r="B118" s="195" t="s">
        <v>36</v>
      </c>
      <c r="C118" s="195" t="s">
        <v>37</v>
      </c>
      <c r="D118" s="208"/>
      <c r="E118" s="208"/>
      <c r="F118" s="208"/>
      <c r="G118" s="208"/>
      <c r="H118" s="208"/>
      <c r="I118" s="209"/>
      <c r="J118" s="210"/>
      <c r="K118" s="210"/>
      <c r="L118" s="211"/>
    </row>
    <row r="119" spans="1:13" x14ac:dyDescent="0.25">
      <c r="A119" s="93" t="s">
        <v>171</v>
      </c>
      <c r="B119" s="93" t="s">
        <v>183</v>
      </c>
      <c r="C119" s="95" t="s">
        <v>37</v>
      </c>
      <c r="D119" s="190">
        <v>100</v>
      </c>
      <c r="E119" s="96">
        <f t="shared" ref="E119:E123" si="89">ROUND(D119*$B$8*$B$9,2)</f>
        <v>92.73</v>
      </c>
      <c r="F119" s="190">
        <v>100</v>
      </c>
      <c r="G119" s="97">
        <f t="shared" ref="G119" si="90">IFERROR(ROUND((F119/E119)-1,3),0)</f>
        <v>7.8E-2</v>
      </c>
      <c r="H119" s="97">
        <f t="shared" ref="H119" si="91">IFERROR(ROUND((F119/D119)-1,3),0)</f>
        <v>0</v>
      </c>
      <c r="I119" s="200">
        <v>100</v>
      </c>
      <c r="J119" s="108">
        <f t="shared" ref="J119:K119" si="92">ROUND(E119*$I119,2)</f>
        <v>9273</v>
      </c>
      <c r="K119" s="108">
        <f t="shared" si="92"/>
        <v>10000</v>
      </c>
      <c r="L119" s="108">
        <f t="shared" ref="L119" si="93">ROUND(K119-J119,2)</f>
        <v>727</v>
      </c>
    </row>
    <row r="120" spans="1:13" s="73" customFormat="1" x14ac:dyDescent="0.25">
      <c r="A120" s="93"/>
      <c r="B120" s="93"/>
      <c r="C120" s="95"/>
      <c r="D120" s="190"/>
      <c r="E120" s="96">
        <f t="shared" si="89"/>
        <v>0</v>
      </c>
      <c r="F120" s="190"/>
      <c r="G120" s="97">
        <f>IFERROR(ROUND((F120/E120)-1,3),0)</f>
        <v>0</v>
      </c>
      <c r="H120" s="97">
        <f>IFERROR(ROUND((F120/D120)-1,3),0)</f>
        <v>0</v>
      </c>
      <c r="I120" s="200"/>
      <c r="J120" s="108">
        <f>ROUND(E120*$I120,2)</f>
        <v>0</v>
      </c>
      <c r="K120" s="108">
        <f>ROUND(F120*$I120,2)</f>
        <v>0</v>
      </c>
      <c r="L120" s="108">
        <f>ROUND(K120-J120,2)</f>
        <v>0</v>
      </c>
    </row>
    <row r="121" spans="1:13" x14ac:dyDescent="0.25">
      <c r="A121" s="93"/>
      <c r="B121" s="93"/>
      <c r="C121" s="95"/>
      <c r="D121" s="190"/>
      <c r="E121" s="96">
        <f t="shared" si="89"/>
        <v>0</v>
      </c>
      <c r="F121" s="190"/>
      <c r="G121" s="97">
        <f t="shared" ref="G121:G123" si="94">IFERROR(ROUND((F121/E121)-1,3),0)</f>
        <v>0</v>
      </c>
      <c r="H121" s="97">
        <f t="shared" ref="H121:H123" si="95">IFERROR(ROUND((F121/D121)-1,3),0)</f>
        <v>0</v>
      </c>
      <c r="I121" s="200"/>
      <c r="J121" s="108">
        <f t="shared" ref="J121:K123" si="96">ROUND(E121*$I121,2)</f>
        <v>0</v>
      </c>
      <c r="K121" s="108">
        <f t="shared" si="96"/>
        <v>0</v>
      </c>
      <c r="L121" s="108">
        <f t="shared" ref="L121:L123" si="97">ROUND(K121-J121,2)</f>
        <v>0</v>
      </c>
      <c r="M121" s="99"/>
    </row>
    <row r="122" spans="1:13" x14ac:dyDescent="0.25">
      <c r="A122" s="93"/>
      <c r="B122" s="93"/>
      <c r="C122" s="95"/>
      <c r="D122" s="190"/>
      <c r="E122" s="96">
        <f t="shared" si="89"/>
        <v>0</v>
      </c>
      <c r="F122" s="190"/>
      <c r="G122" s="97">
        <f t="shared" si="94"/>
        <v>0</v>
      </c>
      <c r="H122" s="97">
        <f t="shared" si="95"/>
        <v>0</v>
      </c>
      <c r="I122" s="200"/>
      <c r="J122" s="108">
        <f t="shared" si="96"/>
        <v>0</v>
      </c>
      <c r="K122" s="108">
        <f t="shared" si="96"/>
        <v>0</v>
      </c>
      <c r="L122" s="108">
        <f t="shared" si="97"/>
        <v>0</v>
      </c>
      <c r="M122" s="99"/>
    </row>
    <row r="123" spans="1:13" x14ac:dyDescent="0.25">
      <c r="A123" s="93"/>
      <c r="B123" s="93"/>
      <c r="C123" s="95"/>
      <c r="D123" s="190"/>
      <c r="E123" s="96">
        <f t="shared" si="89"/>
        <v>0</v>
      </c>
      <c r="F123" s="190"/>
      <c r="G123" s="97">
        <f t="shared" si="94"/>
        <v>0</v>
      </c>
      <c r="H123" s="97">
        <f t="shared" si="95"/>
        <v>0</v>
      </c>
      <c r="I123" s="200"/>
      <c r="J123" s="108">
        <f t="shared" si="96"/>
        <v>0</v>
      </c>
      <c r="K123" s="108">
        <f t="shared" si="96"/>
        <v>0</v>
      </c>
      <c r="L123" s="108">
        <f t="shared" si="97"/>
        <v>0</v>
      </c>
      <c r="M123" s="99"/>
    </row>
    <row r="124" spans="1:13" s="207" customFormat="1" ht="30" customHeight="1" x14ac:dyDescent="0.25">
      <c r="A124" s="194"/>
      <c r="B124" s="195" t="s">
        <v>38</v>
      </c>
      <c r="C124" s="195" t="s">
        <v>39</v>
      </c>
      <c r="D124" s="208"/>
      <c r="E124" s="208"/>
      <c r="F124" s="208"/>
      <c r="G124" s="208"/>
      <c r="H124" s="208"/>
      <c r="I124" s="209"/>
      <c r="J124" s="210"/>
      <c r="K124" s="210"/>
      <c r="L124" s="211"/>
    </row>
    <row r="125" spans="1:13" x14ac:dyDescent="0.25">
      <c r="A125" s="93" t="s">
        <v>171</v>
      </c>
      <c r="B125" s="93" t="s">
        <v>184</v>
      </c>
      <c r="C125" s="95" t="s">
        <v>39</v>
      </c>
      <c r="D125" s="190">
        <v>100</v>
      </c>
      <c r="E125" s="96">
        <f t="shared" ref="E125:E129" si="98">ROUND(D125*$B$8*$B$9,2)</f>
        <v>92.73</v>
      </c>
      <c r="F125" s="190">
        <v>100</v>
      </c>
      <c r="G125" s="97">
        <f t="shared" ref="G125" si="99">IFERROR((F125/E125)-1,0)</f>
        <v>7.8399654912110428E-2</v>
      </c>
      <c r="H125" s="97">
        <f t="shared" ref="H125" si="100">IFERROR((F125/D125)-1,0)</f>
        <v>0</v>
      </c>
      <c r="I125" s="200">
        <v>100</v>
      </c>
      <c r="J125" s="108">
        <f t="shared" ref="J125:K125" si="101">ROUND(E125*$I125,2)</f>
        <v>9273</v>
      </c>
      <c r="K125" s="108">
        <f t="shared" si="101"/>
        <v>10000</v>
      </c>
      <c r="L125" s="108">
        <f t="shared" ref="L125" si="102">ROUND(K125-J125,2)</f>
        <v>727</v>
      </c>
    </row>
    <row r="126" spans="1:13" s="73" customFormat="1" x14ac:dyDescent="0.25">
      <c r="A126" s="93"/>
      <c r="B126" s="93"/>
      <c r="C126" s="95"/>
      <c r="D126" s="190"/>
      <c r="E126" s="96">
        <f t="shared" si="98"/>
        <v>0</v>
      </c>
      <c r="F126" s="190"/>
      <c r="G126" s="97">
        <f>IFERROR(ROUND((F126/E126)-1,3),0)</f>
        <v>0</v>
      </c>
      <c r="H126" s="97">
        <f>IFERROR(ROUND((F126/D126)-1,3),0)</f>
        <v>0</v>
      </c>
      <c r="I126" s="200"/>
      <c r="J126" s="108">
        <f>ROUND(E126*$I126,2)</f>
        <v>0</v>
      </c>
      <c r="K126" s="108">
        <f>ROUND(F126*$I126,2)</f>
        <v>0</v>
      </c>
      <c r="L126" s="108">
        <f>ROUND(K126-J126,2)</f>
        <v>0</v>
      </c>
    </row>
    <row r="127" spans="1:13" x14ac:dyDescent="0.25">
      <c r="A127" s="93"/>
      <c r="B127" s="93"/>
      <c r="C127" s="95"/>
      <c r="D127" s="190"/>
      <c r="E127" s="96">
        <f t="shared" si="98"/>
        <v>0</v>
      </c>
      <c r="F127" s="190"/>
      <c r="G127" s="97">
        <f t="shared" ref="G127:G129" si="103">IFERROR(ROUND((F127/E127)-1,3),0)</f>
        <v>0</v>
      </c>
      <c r="H127" s="97">
        <f t="shared" ref="H127:H129" si="104">IFERROR(ROUND((F127/D127)-1,3),0)</f>
        <v>0</v>
      </c>
      <c r="I127" s="200"/>
      <c r="J127" s="108">
        <f t="shared" ref="J127:K129" si="105">ROUND(E127*$I127,2)</f>
        <v>0</v>
      </c>
      <c r="K127" s="108">
        <f t="shared" si="105"/>
        <v>0</v>
      </c>
      <c r="L127" s="108">
        <f t="shared" ref="L127:L129" si="106">ROUND(K127-J127,2)</f>
        <v>0</v>
      </c>
      <c r="M127" s="99"/>
    </row>
    <row r="128" spans="1:13" x14ac:dyDescent="0.25">
      <c r="A128" s="93"/>
      <c r="B128" s="93"/>
      <c r="C128" s="95"/>
      <c r="D128" s="190"/>
      <c r="E128" s="96">
        <f t="shared" si="98"/>
        <v>0</v>
      </c>
      <c r="F128" s="190"/>
      <c r="G128" s="97">
        <f t="shared" si="103"/>
        <v>0</v>
      </c>
      <c r="H128" s="97">
        <f t="shared" si="104"/>
        <v>0</v>
      </c>
      <c r="I128" s="200"/>
      <c r="J128" s="108">
        <f t="shared" si="105"/>
        <v>0</v>
      </c>
      <c r="K128" s="108">
        <f t="shared" si="105"/>
        <v>0</v>
      </c>
      <c r="L128" s="108">
        <f t="shared" si="106"/>
        <v>0</v>
      </c>
      <c r="M128" s="99"/>
    </row>
    <row r="129" spans="1:13" x14ac:dyDescent="0.25">
      <c r="A129" s="93"/>
      <c r="B129" s="93"/>
      <c r="C129" s="95"/>
      <c r="D129" s="190"/>
      <c r="E129" s="96">
        <f t="shared" si="98"/>
        <v>0</v>
      </c>
      <c r="F129" s="190"/>
      <c r="G129" s="97">
        <f t="shared" si="103"/>
        <v>0</v>
      </c>
      <c r="H129" s="97">
        <f t="shared" si="104"/>
        <v>0</v>
      </c>
      <c r="I129" s="200"/>
      <c r="J129" s="108">
        <f t="shared" si="105"/>
        <v>0</v>
      </c>
      <c r="K129" s="108">
        <f t="shared" si="105"/>
        <v>0</v>
      </c>
      <c r="L129" s="108">
        <f t="shared" si="106"/>
        <v>0</v>
      </c>
      <c r="M129" s="99"/>
    </row>
    <row r="130" spans="1:13" s="207" customFormat="1" x14ac:dyDescent="0.25">
      <c r="A130" s="194"/>
      <c r="B130" s="195" t="s">
        <v>41</v>
      </c>
      <c r="C130" s="195" t="s">
        <v>42</v>
      </c>
      <c r="D130" s="208"/>
      <c r="E130" s="208"/>
      <c r="F130" s="208"/>
      <c r="G130" s="208"/>
      <c r="H130" s="208"/>
      <c r="I130" s="209"/>
      <c r="J130" s="210"/>
      <c r="K130" s="210"/>
      <c r="L130" s="211"/>
    </row>
    <row r="131" spans="1:13" x14ac:dyDescent="0.25">
      <c r="A131" s="93" t="s">
        <v>171</v>
      </c>
      <c r="B131" s="93" t="s">
        <v>179</v>
      </c>
      <c r="C131" s="95" t="s">
        <v>42</v>
      </c>
      <c r="D131" s="190">
        <v>100</v>
      </c>
      <c r="E131" s="96">
        <f t="shared" ref="E131:E135" si="107">ROUND(D131*$B$8*$B$9,2)</f>
        <v>92.73</v>
      </c>
      <c r="F131" s="190">
        <v>100</v>
      </c>
      <c r="G131" s="97">
        <f t="shared" ref="G131" si="108">IFERROR((F131/E131)-1,0)</f>
        <v>7.8399654912110428E-2</v>
      </c>
      <c r="H131" s="97">
        <f t="shared" ref="H131" si="109">IFERROR((F131/D131)-1,0)</f>
        <v>0</v>
      </c>
      <c r="I131" s="200">
        <v>100</v>
      </c>
      <c r="J131" s="108">
        <f t="shared" ref="J131:K131" si="110">ROUND(E131*$I131,2)</f>
        <v>9273</v>
      </c>
      <c r="K131" s="108">
        <f t="shared" si="110"/>
        <v>10000</v>
      </c>
      <c r="L131" s="108">
        <f t="shared" ref="L131" si="111">ROUND(K131-J131,2)</f>
        <v>727</v>
      </c>
    </row>
    <row r="132" spans="1:13" s="73" customFormat="1" x14ac:dyDescent="0.25">
      <c r="A132" s="93"/>
      <c r="B132" s="93"/>
      <c r="C132" s="95"/>
      <c r="D132" s="190"/>
      <c r="E132" s="96">
        <f t="shared" si="107"/>
        <v>0</v>
      </c>
      <c r="F132" s="190"/>
      <c r="G132" s="97">
        <f>IFERROR(ROUND((F132/E132)-1,3),0)</f>
        <v>0</v>
      </c>
      <c r="H132" s="97">
        <f>IFERROR(ROUND((F132/D132)-1,3),0)</f>
        <v>0</v>
      </c>
      <c r="I132" s="200"/>
      <c r="J132" s="108">
        <f>ROUND(E132*$I132,2)</f>
        <v>0</v>
      </c>
      <c r="K132" s="108">
        <f>ROUND(F132*$I132,2)</f>
        <v>0</v>
      </c>
      <c r="L132" s="108">
        <f>ROUND(K132-J132,2)</f>
        <v>0</v>
      </c>
    </row>
    <row r="133" spans="1:13" x14ac:dyDescent="0.25">
      <c r="A133" s="93"/>
      <c r="B133" s="93"/>
      <c r="C133" s="95"/>
      <c r="D133" s="190"/>
      <c r="E133" s="96">
        <f t="shared" si="107"/>
        <v>0</v>
      </c>
      <c r="F133" s="190"/>
      <c r="G133" s="97">
        <f t="shared" ref="G133:G135" si="112">IFERROR(ROUND((F133/E133)-1,3),0)</f>
        <v>0</v>
      </c>
      <c r="H133" s="97">
        <f t="shared" ref="H133:H135" si="113">IFERROR(ROUND((F133/D133)-1,3),0)</f>
        <v>0</v>
      </c>
      <c r="I133" s="200"/>
      <c r="J133" s="108">
        <f t="shared" ref="J133:K135" si="114">ROUND(E133*$I133,2)</f>
        <v>0</v>
      </c>
      <c r="K133" s="108">
        <f t="shared" si="114"/>
        <v>0</v>
      </c>
      <c r="L133" s="108">
        <f t="shared" ref="L133:L135" si="115">ROUND(K133-J133,2)</f>
        <v>0</v>
      </c>
      <c r="M133" s="99"/>
    </row>
    <row r="134" spans="1:13" x14ac:dyDescent="0.25">
      <c r="A134" s="93"/>
      <c r="B134" s="93"/>
      <c r="C134" s="95"/>
      <c r="D134" s="190"/>
      <c r="E134" s="96">
        <f t="shared" si="107"/>
        <v>0</v>
      </c>
      <c r="F134" s="190"/>
      <c r="G134" s="97">
        <f t="shared" si="112"/>
        <v>0</v>
      </c>
      <c r="H134" s="97">
        <f t="shared" si="113"/>
        <v>0</v>
      </c>
      <c r="I134" s="200"/>
      <c r="J134" s="108">
        <f t="shared" si="114"/>
        <v>0</v>
      </c>
      <c r="K134" s="108">
        <f t="shared" si="114"/>
        <v>0</v>
      </c>
      <c r="L134" s="108">
        <f t="shared" si="115"/>
        <v>0</v>
      </c>
      <c r="M134" s="99"/>
    </row>
    <row r="135" spans="1:13" x14ac:dyDescent="0.25">
      <c r="A135" s="93"/>
      <c r="B135" s="93"/>
      <c r="C135" s="95"/>
      <c r="D135" s="190"/>
      <c r="E135" s="96">
        <f t="shared" si="107"/>
        <v>0</v>
      </c>
      <c r="F135" s="190"/>
      <c r="G135" s="97">
        <f t="shared" si="112"/>
        <v>0</v>
      </c>
      <c r="H135" s="97">
        <f t="shared" si="113"/>
        <v>0</v>
      </c>
      <c r="I135" s="200"/>
      <c r="J135" s="108">
        <f t="shared" si="114"/>
        <v>0</v>
      </c>
      <c r="K135" s="108">
        <f t="shared" si="114"/>
        <v>0</v>
      </c>
      <c r="L135" s="108">
        <f t="shared" si="115"/>
        <v>0</v>
      </c>
      <c r="M135" s="99"/>
    </row>
    <row r="136" spans="1:13" s="207" customFormat="1" ht="30" x14ac:dyDescent="0.25">
      <c r="A136" s="194"/>
      <c r="B136" s="195" t="s">
        <v>43</v>
      </c>
      <c r="C136" s="195" t="s">
        <v>44</v>
      </c>
      <c r="D136" s="208"/>
      <c r="E136" s="208"/>
      <c r="F136" s="208"/>
      <c r="G136" s="208"/>
      <c r="H136" s="208"/>
      <c r="I136" s="209"/>
      <c r="J136" s="210"/>
      <c r="K136" s="210"/>
      <c r="L136" s="211"/>
    </row>
    <row r="137" spans="1:13" ht="30" x14ac:dyDescent="0.25">
      <c r="A137" s="93" t="s">
        <v>171</v>
      </c>
      <c r="B137" s="94" t="s">
        <v>180</v>
      </c>
      <c r="C137" s="95" t="s">
        <v>44</v>
      </c>
      <c r="D137" s="96">
        <v>100</v>
      </c>
      <c r="E137" s="96">
        <f t="shared" ref="E137:E141" si="116">ROUND(D137*$B$8*$B$9,2)</f>
        <v>92.73</v>
      </c>
      <c r="F137" s="96">
        <v>100</v>
      </c>
      <c r="G137" s="97">
        <f t="shared" ref="G137" si="117">IFERROR((F137/E137)-1,0)</f>
        <v>7.8399654912110428E-2</v>
      </c>
      <c r="H137" s="97">
        <f t="shared" ref="H137" si="118">IFERROR((F137/D137)-1,0)</f>
        <v>0</v>
      </c>
      <c r="I137" s="200">
        <v>100</v>
      </c>
      <c r="J137" s="108">
        <f t="shared" ref="J137:K137" si="119">ROUND(E137*$I137,2)</f>
        <v>9273</v>
      </c>
      <c r="K137" s="108">
        <f t="shared" si="119"/>
        <v>10000</v>
      </c>
      <c r="L137" s="108">
        <f t="shared" ref="L137" si="120">ROUND(K137-J137,2)</f>
        <v>727</v>
      </c>
    </row>
    <row r="138" spans="1:13" s="73" customFormat="1" x14ac:dyDescent="0.25">
      <c r="A138" s="93"/>
      <c r="B138" s="93"/>
      <c r="C138" s="95"/>
      <c r="D138" s="190"/>
      <c r="E138" s="96">
        <f t="shared" si="116"/>
        <v>0</v>
      </c>
      <c r="F138" s="190"/>
      <c r="G138" s="97">
        <f>IFERROR(ROUND((F138/E138)-1,3),0)</f>
        <v>0</v>
      </c>
      <c r="H138" s="97">
        <f>IFERROR(ROUND((F138/D138)-1,3),0)</f>
        <v>0</v>
      </c>
      <c r="I138" s="200"/>
      <c r="J138" s="108">
        <f>ROUND(E138*$I138,2)</f>
        <v>0</v>
      </c>
      <c r="K138" s="108">
        <f>ROUND(F138*$I138,2)</f>
        <v>0</v>
      </c>
      <c r="L138" s="108">
        <f>ROUND(K138-J138,2)</f>
        <v>0</v>
      </c>
    </row>
    <row r="139" spans="1:13" x14ac:dyDescent="0.25">
      <c r="A139" s="93"/>
      <c r="B139" s="93"/>
      <c r="C139" s="95"/>
      <c r="D139" s="190"/>
      <c r="E139" s="96">
        <f t="shared" si="116"/>
        <v>0</v>
      </c>
      <c r="F139" s="190"/>
      <c r="G139" s="97">
        <f t="shared" ref="G139:G141" si="121">IFERROR(ROUND((F139/E139)-1,3),0)</f>
        <v>0</v>
      </c>
      <c r="H139" s="97">
        <f t="shared" ref="H139:H141" si="122">IFERROR(ROUND((F139/D139)-1,3),0)</f>
        <v>0</v>
      </c>
      <c r="I139" s="200"/>
      <c r="J139" s="108">
        <f t="shared" ref="J139:K141" si="123">ROUND(E139*$I139,2)</f>
        <v>0</v>
      </c>
      <c r="K139" s="108">
        <f t="shared" si="123"/>
        <v>0</v>
      </c>
      <c r="L139" s="108">
        <f t="shared" ref="L139:L141" si="124">ROUND(K139-J139,2)</f>
        <v>0</v>
      </c>
      <c r="M139" s="99"/>
    </row>
    <row r="140" spans="1:13" x14ac:dyDescent="0.25">
      <c r="A140" s="93"/>
      <c r="B140" s="93"/>
      <c r="C140" s="95"/>
      <c r="D140" s="190"/>
      <c r="E140" s="96">
        <f t="shared" si="116"/>
        <v>0</v>
      </c>
      <c r="F140" s="190"/>
      <c r="G140" s="97">
        <f t="shared" si="121"/>
        <v>0</v>
      </c>
      <c r="H140" s="97">
        <f t="shared" si="122"/>
        <v>0</v>
      </c>
      <c r="I140" s="200"/>
      <c r="J140" s="108">
        <f t="shared" si="123"/>
        <v>0</v>
      </c>
      <c r="K140" s="108">
        <f t="shared" si="123"/>
        <v>0</v>
      </c>
      <c r="L140" s="108">
        <f t="shared" si="124"/>
        <v>0</v>
      </c>
      <c r="M140" s="99"/>
    </row>
    <row r="141" spans="1:13" x14ac:dyDescent="0.25">
      <c r="A141" s="93"/>
      <c r="B141" s="93"/>
      <c r="C141" s="95"/>
      <c r="D141" s="190"/>
      <c r="E141" s="96">
        <f t="shared" si="116"/>
        <v>0</v>
      </c>
      <c r="F141" s="190"/>
      <c r="G141" s="97">
        <f t="shared" si="121"/>
        <v>0</v>
      </c>
      <c r="H141" s="97">
        <f t="shared" si="122"/>
        <v>0</v>
      </c>
      <c r="I141" s="200"/>
      <c r="J141" s="108">
        <f t="shared" si="123"/>
        <v>0</v>
      </c>
      <c r="K141" s="108">
        <f t="shared" si="123"/>
        <v>0</v>
      </c>
      <c r="L141" s="108">
        <f t="shared" si="124"/>
        <v>0</v>
      </c>
      <c r="M141" s="99"/>
    </row>
    <row r="142" spans="1:13" s="207" customFormat="1" ht="30" x14ac:dyDescent="0.25">
      <c r="A142" s="194"/>
      <c r="B142" s="195" t="s">
        <v>52</v>
      </c>
      <c r="C142" s="195" t="s">
        <v>53</v>
      </c>
      <c r="D142" s="208"/>
      <c r="E142" s="208"/>
      <c r="F142" s="208"/>
      <c r="G142" s="208"/>
      <c r="H142" s="208"/>
      <c r="I142" s="209"/>
      <c r="J142" s="210"/>
      <c r="K142" s="210"/>
      <c r="L142" s="211"/>
    </row>
    <row r="143" spans="1:13" x14ac:dyDescent="0.25">
      <c r="A143" s="93" t="s">
        <v>171</v>
      </c>
      <c r="B143" s="93" t="s">
        <v>181</v>
      </c>
      <c r="C143" s="95" t="s">
        <v>53</v>
      </c>
      <c r="D143" s="190">
        <v>100</v>
      </c>
      <c r="E143" s="96">
        <f t="shared" ref="E143:E147" si="125">ROUND(D143*$B$8*$B$9,2)</f>
        <v>92.73</v>
      </c>
      <c r="F143" s="190">
        <v>100</v>
      </c>
      <c r="G143" s="97">
        <f t="shared" ref="G143" si="126">IFERROR((F143/E143)-1,0)</f>
        <v>7.8399654912110428E-2</v>
      </c>
      <c r="H143" s="97">
        <f t="shared" ref="H143" si="127">IFERROR((F143/D143)-1,0)</f>
        <v>0</v>
      </c>
      <c r="I143" s="200">
        <v>100</v>
      </c>
      <c r="J143" s="108">
        <f t="shared" ref="J143:K143" si="128">ROUND(E143*$I143,2)</f>
        <v>9273</v>
      </c>
      <c r="K143" s="108">
        <f t="shared" si="128"/>
        <v>10000</v>
      </c>
      <c r="L143" s="108">
        <f t="shared" ref="L143" si="129">ROUND(K143-J143,2)</f>
        <v>727</v>
      </c>
    </row>
    <row r="144" spans="1:13" s="73" customFormat="1" x14ac:dyDescent="0.25">
      <c r="A144" s="93"/>
      <c r="B144" s="93"/>
      <c r="C144" s="95"/>
      <c r="D144" s="190"/>
      <c r="E144" s="96">
        <f t="shared" si="125"/>
        <v>0</v>
      </c>
      <c r="F144" s="190"/>
      <c r="G144" s="97">
        <f>IFERROR(ROUND((F144/E144)-1,3),0)</f>
        <v>0</v>
      </c>
      <c r="H144" s="97">
        <f>IFERROR(ROUND((F144/D144)-1,3),0)</f>
        <v>0</v>
      </c>
      <c r="I144" s="200"/>
      <c r="J144" s="108">
        <f>ROUND(E144*$I144,2)</f>
        <v>0</v>
      </c>
      <c r="K144" s="108">
        <f>ROUND(F144*$I144,2)</f>
        <v>0</v>
      </c>
      <c r="L144" s="108">
        <f>ROUND(K144-J144,2)</f>
        <v>0</v>
      </c>
    </row>
    <row r="145" spans="1:13" x14ac:dyDescent="0.25">
      <c r="A145" s="93"/>
      <c r="B145" s="93"/>
      <c r="C145" s="95"/>
      <c r="D145" s="190"/>
      <c r="E145" s="96">
        <f t="shared" si="125"/>
        <v>0</v>
      </c>
      <c r="F145" s="190"/>
      <c r="G145" s="97">
        <f t="shared" ref="G145:G147" si="130">IFERROR(ROUND((F145/E145)-1,3),0)</f>
        <v>0</v>
      </c>
      <c r="H145" s="97">
        <f t="shared" ref="H145:H147" si="131">IFERROR(ROUND((F145/D145)-1,3),0)</f>
        <v>0</v>
      </c>
      <c r="I145" s="200"/>
      <c r="J145" s="108">
        <f t="shared" ref="J145:K147" si="132">ROUND(E145*$I145,2)</f>
        <v>0</v>
      </c>
      <c r="K145" s="108">
        <f t="shared" si="132"/>
        <v>0</v>
      </c>
      <c r="L145" s="108">
        <f t="shared" ref="L145:L147" si="133">ROUND(K145-J145,2)</f>
        <v>0</v>
      </c>
      <c r="M145" s="99"/>
    </row>
    <row r="146" spans="1:13" x14ac:dyDescent="0.25">
      <c r="A146" s="93"/>
      <c r="B146" s="93"/>
      <c r="C146" s="95"/>
      <c r="D146" s="190"/>
      <c r="E146" s="96">
        <f t="shared" si="125"/>
        <v>0</v>
      </c>
      <c r="F146" s="190"/>
      <c r="G146" s="97">
        <f t="shared" si="130"/>
        <v>0</v>
      </c>
      <c r="H146" s="97">
        <f t="shared" si="131"/>
        <v>0</v>
      </c>
      <c r="I146" s="200"/>
      <c r="J146" s="108">
        <f t="shared" si="132"/>
        <v>0</v>
      </c>
      <c r="K146" s="108">
        <f t="shared" si="132"/>
        <v>0</v>
      </c>
      <c r="L146" s="108">
        <f t="shared" si="133"/>
        <v>0</v>
      </c>
      <c r="M146" s="99"/>
    </row>
    <row r="147" spans="1:13" x14ac:dyDescent="0.25">
      <c r="A147" s="93"/>
      <c r="B147" s="93"/>
      <c r="C147" s="95"/>
      <c r="D147" s="190"/>
      <c r="E147" s="96">
        <f t="shared" si="125"/>
        <v>0</v>
      </c>
      <c r="F147" s="190"/>
      <c r="G147" s="97">
        <f t="shared" si="130"/>
        <v>0</v>
      </c>
      <c r="H147" s="97">
        <f t="shared" si="131"/>
        <v>0</v>
      </c>
      <c r="I147" s="200"/>
      <c r="J147" s="108">
        <f t="shared" si="132"/>
        <v>0</v>
      </c>
      <c r="K147" s="108">
        <f t="shared" si="132"/>
        <v>0</v>
      </c>
      <c r="L147" s="108">
        <f t="shared" si="133"/>
        <v>0</v>
      </c>
      <c r="M147" s="99"/>
    </row>
  </sheetData>
  <mergeCells count="6">
    <mergeCell ref="J84:L84"/>
    <mergeCell ref="D1:E1"/>
    <mergeCell ref="A2:B2"/>
    <mergeCell ref="A11:N12"/>
    <mergeCell ref="A81:L82"/>
    <mergeCell ref="L14:M14"/>
  </mergeCells>
  <conditionalFormatting sqref="D9">
    <cfRule type="expression" dxfId="5" priority="1">
      <formula>$D9="Fail"</formula>
    </cfRule>
    <cfRule type="expression" dxfId="4" priority="2">
      <formula>$D9="Pass"</formula>
    </cfRule>
  </conditionalFormatting>
  <pageMargins left="0.25" right="0.25" top="0.75" bottom="0.75" header="0.3" footer="0.3"/>
  <pageSetup paperSize="5" scale="5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8D7D1-1B97-433E-B409-A23558D20BBB}">
  <sheetPr codeName="Sheet6">
    <pageSetUpPr fitToPage="1"/>
  </sheetPr>
  <dimension ref="A1:O147"/>
  <sheetViews>
    <sheetView zoomScale="70" zoomScaleNormal="70" workbookViewId="0"/>
  </sheetViews>
  <sheetFormatPr defaultColWidth="9.140625" defaultRowHeight="15" x14ac:dyDescent="0.25"/>
  <cols>
    <col min="1" max="1" width="59" style="100" bestFit="1" customWidth="1"/>
    <col min="2" max="2" width="39.28515625" style="33" customWidth="1"/>
    <col min="3" max="3" width="15.7109375" style="80" customWidth="1"/>
    <col min="4" max="8" width="15.7109375" style="32" customWidth="1"/>
    <col min="9" max="11" width="15.7109375" style="34" customWidth="1"/>
    <col min="12" max="12" width="15.7109375" style="35" customWidth="1"/>
    <col min="13" max="14" width="18.28515625" style="36" customWidth="1"/>
    <col min="15" max="15" width="15.7109375" style="36" customWidth="1"/>
    <col min="16" max="16384" width="9.140625" style="36"/>
  </cols>
  <sheetData>
    <row r="1" spans="1:15" ht="21" x14ac:dyDescent="0.35">
      <c r="A1" s="317" t="str">
        <f>'Exogenous Costs'!A2</f>
        <v>Filing Date:  06/16/20</v>
      </c>
      <c r="B1" s="113"/>
      <c r="C1" s="36"/>
      <c r="D1" s="334"/>
      <c r="E1" s="334"/>
      <c r="F1" s="60"/>
      <c r="G1" s="36"/>
      <c r="H1" s="36"/>
    </row>
    <row r="2" spans="1:15" x14ac:dyDescent="0.25">
      <c r="A2" s="339" t="str">
        <f>'Exogenous Costs'!A3</f>
        <v xml:space="preserve">Filing Entity:  </v>
      </c>
      <c r="B2" s="339"/>
      <c r="C2" s="36"/>
      <c r="D2" s="36"/>
      <c r="F2" s="38"/>
      <c r="G2" s="36"/>
      <c r="H2" s="36"/>
    </row>
    <row r="3" spans="1:15" x14ac:dyDescent="0.25">
      <c r="A3" s="317" t="str">
        <f>'Exogenous Costs'!A4</f>
        <v xml:space="preserve">Transmittal Number:  </v>
      </c>
      <c r="B3" s="113"/>
      <c r="C3" s="36"/>
      <c r="D3" s="36"/>
      <c r="F3" s="38"/>
      <c r="G3" s="36"/>
      <c r="H3" s="36"/>
    </row>
    <row r="4" spans="1:15" x14ac:dyDescent="0.25">
      <c r="A4" s="246"/>
      <c r="C4" s="36"/>
      <c r="D4" s="36"/>
      <c r="F4" s="38"/>
      <c r="G4" s="36"/>
      <c r="H4" s="36"/>
      <c r="I4" s="36"/>
      <c r="J4" s="36"/>
      <c r="K4" s="36"/>
      <c r="L4" s="36"/>
    </row>
    <row r="5" spans="1:15" x14ac:dyDescent="0.25">
      <c r="A5" s="39"/>
      <c r="C5" s="36"/>
      <c r="D5" s="36"/>
      <c r="F5" s="38"/>
      <c r="G5" s="27"/>
      <c r="H5" s="44"/>
      <c r="I5" s="36"/>
      <c r="J5" s="36"/>
      <c r="K5" s="36"/>
      <c r="L5" s="36"/>
    </row>
    <row r="6" spans="1:15" x14ac:dyDescent="0.25">
      <c r="A6" s="47" t="s">
        <v>10</v>
      </c>
      <c r="B6" s="120" t="s">
        <v>148</v>
      </c>
      <c r="C6" s="36"/>
      <c r="D6" s="36"/>
      <c r="F6" s="38"/>
      <c r="G6" s="27"/>
      <c r="H6" s="44"/>
      <c r="I6" s="36"/>
      <c r="J6" s="36"/>
      <c r="K6" s="36"/>
      <c r="L6" s="36"/>
    </row>
    <row r="7" spans="1:15" x14ac:dyDescent="0.25">
      <c r="A7" s="47" t="s">
        <v>11</v>
      </c>
      <c r="B7" s="48" t="str">
        <f>VLOOKUP(B6,'Exogenous Costs'!C20:D23,2,0)</f>
        <v>BDS HoldCo EC4</v>
      </c>
      <c r="C7" s="36"/>
      <c r="D7" s="36"/>
      <c r="F7" s="38"/>
      <c r="G7" s="27"/>
      <c r="H7" s="44"/>
      <c r="I7" s="36"/>
      <c r="J7" s="36"/>
      <c r="K7" s="36"/>
      <c r="L7" s="36"/>
    </row>
    <row r="8" spans="1:15" x14ac:dyDescent="0.25">
      <c r="A8" s="300" t="s">
        <v>153</v>
      </c>
      <c r="B8" s="301">
        <f>'Factor Dev'!G19</f>
        <v>1</v>
      </c>
      <c r="C8" s="28"/>
      <c r="F8" s="38"/>
      <c r="G8" s="10"/>
      <c r="I8" s="71"/>
      <c r="J8" s="71"/>
      <c r="K8" s="71"/>
      <c r="M8" s="10"/>
      <c r="N8" s="10"/>
    </row>
    <row r="9" spans="1:15" s="73" customFormat="1" x14ac:dyDescent="0.25">
      <c r="A9" s="300" t="s">
        <v>154</v>
      </c>
      <c r="B9" s="301">
        <f>'Factor Dev'!K19</f>
        <v>1</v>
      </c>
      <c r="C9" s="65"/>
      <c r="D9" s="66"/>
      <c r="E9" s="67"/>
      <c r="F9" s="67"/>
      <c r="G9" s="67"/>
      <c r="H9" s="67"/>
      <c r="I9" s="67"/>
      <c r="J9" s="67"/>
      <c r="K9" s="72"/>
    </row>
    <row r="10" spans="1:15" ht="15.75" thickBot="1" x14ac:dyDescent="0.3">
      <c r="A10" s="74"/>
      <c r="B10" s="57"/>
      <c r="C10" s="75"/>
      <c r="D10" s="76"/>
      <c r="E10" s="76"/>
      <c r="F10" s="38"/>
      <c r="G10" s="16"/>
      <c r="H10" s="76"/>
      <c r="I10" s="71"/>
      <c r="J10" s="71"/>
      <c r="K10" s="71"/>
      <c r="M10" s="10"/>
      <c r="N10" s="10"/>
    </row>
    <row r="11" spans="1:15" ht="14.45" customHeight="1" x14ac:dyDescent="0.25">
      <c r="A11" s="347" t="s">
        <v>13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9"/>
      <c r="O11" s="77"/>
    </row>
    <row r="12" spans="1:15" ht="14.45" customHeight="1" thickBot="1" x14ac:dyDescent="0.3">
      <c r="A12" s="350"/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2"/>
      <c r="O12" s="77"/>
    </row>
    <row r="13" spans="1:15" s="72" customFormat="1" ht="14.45" customHeight="1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 x14ac:dyDescent="0.25">
      <c r="A14" s="36"/>
      <c r="B14" s="79"/>
      <c r="D14" s="81"/>
      <c r="E14" s="81"/>
      <c r="F14" s="81"/>
      <c r="G14" s="81"/>
      <c r="H14" s="81"/>
      <c r="I14" s="36"/>
      <c r="J14" s="36"/>
      <c r="K14" s="82"/>
      <c r="L14" s="353" t="s">
        <v>68</v>
      </c>
      <c r="M14" s="354"/>
      <c r="N14" s="292"/>
      <c r="O14" s="58"/>
    </row>
    <row r="15" spans="1:15" s="59" customFormat="1" ht="276.75" customHeight="1" x14ac:dyDescent="0.25">
      <c r="A15" s="84" t="s">
        <v>18</v>
      </c>
      <c r="B15" s="84" t="s">
        <v>14</v>
      </c>
      <c r="C15" s="85" t="s">
        <v>1</v>
      </c>
      <c r="D15" s="291" t="s">
        <v>134</v>
      </c>
      <c r="E15" s="291" t="s">
        <v>135</v>
      </c>
      <c r="F15" s="291" t="s">
        <v>136</v>
      </c>
      <c r="G15" s="291" t="s">
        <v>137</v>
      </c>
      <c r="H15" s="291" t="s">
        <v>63</v>
      </c>
      <c r="I15" s="87" t="s">
        <v>109</v>
      </c>
      <c r="J15" s="88" t="s">
        <v>110</v>
      </c>
      <c r="K15" s="88" t="s">
        <v>111</v>
      </c>
      <c r="L15" s="293" t="s">
        <v>138</v>
      </c>
      <c r="M15" s="293" t="s">
        <v>22</v>
      </c>
      <c r="N15" s="291" t="s">
        <v>139</v>
      </c>
    </row>
    <row r="16" spans="1:15" s="57" customFormat="1" x14ac:dyDescent="0.25">
      <c r="A16" s="89"/>
      <c r="B16" s="90"/>
      <c r="C16" s="84" t="str">
        <f>"Col "&amp;COLUMN(C17)+24</f>
        <v>Col 27</v>
      </c>
      <c r="D16" s="84" t="str">
        <f t="shared" ref="D16:N16" si="0">"Col "&amp;COLUMN(D17)+24</f>
        <v>Col 28</v>
      </c>
      <c r="E16" s="84" t="str">
        <f t="shared" si="0"/>
        <v>Col 29</v>
      </c>
      <c r="F16" s="84" t="str">
        <f t="shared" si="0"/>
        <v>Col 30</v>
      </c>
      <c r="G16" s="84" t="str">
        <f t="shared" si="0"/>
        <v>Col 31</v>
      </c>
      <c r="H16" s="84" t="str">
        <f t="shared" si="0"/>
        <v>Col 32</v>
      </c>
      <c r="I16" s="84" t="str">
        <f t="shared" si="0"/>
        <v>Col 33</v>
      </c>
      <c r="J16" s="84" t="str">
        <f t="shared" si="0"/>
        <v>Col 34</v>
      </c>
      <c r="K16" s="84" t="str">
        <f t="shared" si="0"/>
        <v>Col 35</v>
      </c>
      <c r="L16" s="84" t="str">
        <f t="shared" si="0"/>
        <v>Col 36</v>
      </c>
      <c r="M16" s="84" t="str">
        <f t="shared" si="0"/>
        <v>Col 37</v>
      </c>
      <c r="N16" s="84" t="str">
        <f t="shared" si="0"/>
        <v>Col 38</v>
      </c>
    </row>
    <row r="17" spans="1:14" s="57" customFormat="1" ht="153" customHeight="1" x14ac:dyDescent="0.25">
      <c r="A17" s="84" t="s">
        <v>2</v>
      </c>
      <c r="B17" s="84" t="s">
        <v>2</v>
      </c>
      <c r="C17" s="20" t="s">
        <v>2</v>
      </c>
      <c r="D17" s="84" t="s">
        <v>2</v>
      </c>
      <c r="E17" s="299" t="str">
        <f>D16&amp;" X Category Relationship Unfreeze Factor X Net Contributor or Net Recipient Factor"</f>
        <v>Col 28 X Category Relationship Unfreeze Factor X Net Contributor or Net Recipient Factor</v>
      </c>
      <c r="F17" s="91" t="s">
        <v>2</v>
      </c>
      <c r="G17" s="91" t="str">
        <f>"("&amp;F16&amp;" / "&amp;E16&amp;")"&amp;" - 1"</f>
        <v>(Col 30 / Col 29) - 1</v>
      </c>
      <c r="H17" s="91" t="str">
        <f>"("&amp;F16&amp;" / "&amp;D16&amp;")"&amp;" - 1"</f>
        <v>(Col 30 / Col 28) - 1</v>
      </c>
      <c r="I17" s="92" t="s">
        <v>2</v>
      </c>
      <c r="J17" s="92" t="s">
        <v>2</v>
      </c>
      <c r="K17" s="92" t="s">
        <v>2</v>
      </c>
      <c r="L17" s="91" t="str">
        <f>"(("&amp;E16&amp;" X "&amp;I16&amp;") + ("&amp;E16&amp;" X "&amp;J16&amp;" X Appropriate Discount) + ("&amp;E16&amp;" X "&amp;K16&amp;" X Appropriate Discount))"</f>
        <v>((Col 29 X Col 33) + (Col 29 X Col 34 X Appropriate Discount) + (Col 29 X Col 35 X Appropriate Discount))</v>
      </c>
      <c r="M17" s="91" t="str">
        <f>"(("&amp;F16&amp;" X "&amp;I16&amp;") + ("&amp;F16&amp;" X "&amp;J16&amp;" X Appropriate Discount) + ("&amp;F16&amp;" X "&amp;K16&amp;" X Appropriate Discount))"</f>
        <v>((Col 30 X Col 33) + (Col 30 X Col 34 X Appropriate Discount) + (Col 30 X Col 35 X Appropriate Discount))</v>
      </c>
      <c r="N17" s="91" t="str">
        <f>CONCATENATE(M16," - ",L16)</f>
        <v>Col 37 - Col 36</v>
      </c>
    </row>
    <row r="18" spans="1:14" s="199" customFormat="1" ht="30.75" customHeight="1" x14ac:dyDescent="0.25">
      <c r="A18" s="194"/>
      <c r="B18" s="195" t="s">
        <v>33</v>
      </c>
      <c r="C18" s="195" t="s">
        <v>27</v>
      </c>
      <c r="D18" s="196"/>
      <c r="E18" s="196"/>
      <c r="F18" s="196"/>
      <c r="G18" s="196"/>
      <c r="H18" s="196"/>
      <c r="I18" s="197"/>
      <c r="J18" s="197"/>
      <c r="K18" s="197"/>
      <c r="L18" s="198"/>
      <c r="M18" s="198"/>
      <c r="N18" s="198"/>
    </row>
    <row r="19" spans="1:14" s="57" customFormat="1" x14ac:dyDescent="0.25">
      <c r="A19" s="93" t="s">
        <v>171</v>
      </c>
      <c r="B19" s="93" t="s">
        <v>172</v>
      </c>
      <c r="C19" s="95" t="s">
        <v>27</v>
      </c>
      <c r="D19" s="233">
        <v>100</v>
      </c>
      <c r="E19" s="96">
        <f>ROUND(D19*$B$8*$B$9,2)</f>
        <v>100</v>
      </c>
      <c r="F19" s="233">
        <v>100</v>
      </c>
      <c r="G19" s="97">
        <f>IFERROR(ROUND((F19/E19)-1,3),0)</f>
        <v>0</v>
      </c>
      <c r="H19" s="97">
        <f>ROUND(IFERROR((F19/D19)-1,0),3)</f>
        <v>0</v>
      </c>
      <c r="I19" s="234">
        <v>100</v>
      </c>
      <c r="J19" s="234">
        <v>10</v>
      </c>
      <c r="K19" s="234">
        <v>5</v>
      </c>
      <c r="L19" s="98">
        <f>IFERROR(ROUND(((E19*$I19)+(E19*$J19*0.8)+(E19*$K19*0.9)),2),0)</f>
        <v>11250</v>
      </c>
      <c r="M19" s="98">
        <f>IFERROR(ROUND(((F19*$I19)+(F19*$J19*0.8)+(F19*$K19*0.9)),2),0)</f>
        <v>11250</v>
      </c>
      <c r="N19" s="98">
        <f>ROUND(M19-L19,2)</f>
        <v>0</v>
      </c>
    </row>
    <row r="20" spans="1:14" s="57" customFormat="1" x14ac:dyDescent="0.25">
      <c r="A20" s="93"/>
      <c r="B20" s="93"/>
      <c r="C20" s="95"/>
      <c r="D20" s="233"/>
      <c r="E20" s="96">
        <f t="shared" ref="E20:E23" si="1">ROUND(D20*$B$8*$B$9,2)</f>
        <v>0</v>
      </c>
      <c r="F20" s="233"/>
      <c r="G20" s="97">
        <f t="shared" ref="G20:G23" si="2">IFERROR(ROUND((F20/E20)-1,3),0)</f>
        <v>0</v>
      </c>
      <c r="H20" s="97">
        <f t="shared" ref="H20:H23" si="3">ROUND(IFERROR((F20/D20)-1,0),3)</f>
        <v>0</v>
      </c>
      <c r="I20" s="234"/>
      <c r="J20" s="234"/>
      <c r="K20" s="234"/>
      <c r="L20" s="98">
        <f t="shared" ref="L20:M23" si="4">IFERROR(ROUND(((E20*$I20)+(E20*$J20*0.8)+(E20*$K20*0.9)),2),0)</f>
        <v>0</v>
      </c>
      <c r="M20" s="98">
        <f t="shared" si="4"/>
        <v>0</v>
      </c>
      <c r="N20" s="98">
        <f t="shared" ref="N20:N23" si="5">ROUND(M20-L20,2)</f>
        <v>0</v>
      </c>
    </row>
    <row r="21" spans="1:14" s="57" customFormat="1" x14ac:dyDescent="0.25">
      <c r="A21" s="93"/>
      <c r="B21" s="93"/>
      <c r="C21" s="95"/>
      <c r="D21" s="233"/>
      <c r="E21" s="96">
        <f t="shared" si="1"/>
        <v>0</v>
      </c>
      <c r="F21" s="233"/>
      <c r="G21" s="97">
        <f t="shared" si="2"/>
        <v>0</v>
      </c>
      <c r="H21" s="97">
        <f t="shared" si="3"/>
        <v>0</v>
      </c>
      <c r="I21" s="234"/>
      <c r="J21" s="234"/>
      <c r="K21" s="234"/>
      <c r="L21" s="98">
        <f t="shared" si="4"/>
        <v>0</v>
      </c>
      <c r="M21" s="98">
        <f t="shared" si="4"/>
        <v>0</v>
      </c>
      <c r="N21" s="98">
        <f t="shared" si="5"/>
        <v>0</v>
      </c>
    </row>
    <row r="22" spans="1:14" s="57" customFormat="1" x14ac:dyDescent="0.25">
      <c r="A22" s="93"/>
      <c r="B22" s="93"/>
      <c r="C22" s="95"/>
      <c r="D22" s="233"/>
      <c r="E22" s="96">
        <f t="shared" si="1"/>
        <v>0</v>
      </c>
      <c r="F22" s="233"/>
      <c r="G22" s="97">
        <f t="shared" si="2"/>
        <v>0</v>
      </c>
      <c r="H22" s="97">
        <f t="shared" si="3"/>
        <v>0</v>
      </c>
      <c r="I22" s="234"/>
      <c r="J22" s="234"/>
      <c r="K22" s="234"/>
      <c r="L22" s="98">
        <f t="shared" si="4"/>
        <v>0</v>
      </c>
      <c r="M22" s="98">
        <f t="shared" si="4"/>
        <v>0</v>
      </c>
      <c r="N22" s="98">
        <f t="shared" si="5"/>
        <v>0</v>
      </c>
    </row>
    <row r="23" spans="1:14" s="57" customFormat="1" x14ac:dyDescent="0.25">
      <c r="A23" s="93"/>
      <c r="B23" s="93"/>
      <c r="C23" s="95"/>
      <c r="D23" s="233"/>
      <c r="E23" s="96">
        <f t="shared" si="1"/>
        <v>0</v>
      </c>
      <c r="F23" s="233"/>
      <c r="G23" s="97">
        <f t="shared" si="2"/>
        <v>0</v>
      </c>
      <c r="H23" s="97">
        <f t="shared" si="3"/>
        <v>0</v>
      </c>
      <c r="I23" s="234"/>
      <c r="J23" s="234"/>
      <c r="K23" s="234"/>
      <c r="L23" s="98">
        <f t="shared" si="4"/>
        <v>0</v>
      </c>
      <c r="M23" s="98">
        <f t="shared" si="4"/>
        <v>0</v>
      </c>
      <c r="N23" s="98">
        <f t="shared" si="5"/>
        <v>0</v>
      </c>
    </row>
    <row r="24" spans="1:14" s="199" customFormat="1" ht="32.25" customHeight="1" x14ac:dyDescent="0.25">
      <c r="A24" s="194"/>
      <c r="B24" s="195" t="s">
        <v>32</v>
      </c>
      <c r="C24" s="195" t="s">
        <v>28</v>
      </c>
      <c r="D24" s="201"/>
      <c r="E24" s="201"/>
      <c r="F24" s="201"/>
      <c r="G24" s="202"/>
      <c r="H24" s="202"/>
      <c r="I24" s="197"/>
      <c r="J24" s="197"/>
      <c r="K24" s="197"/>
      <c r="L24" s="198"/>
      <c r="M24" s="198"/>
      <c r="N24" s="198"/>
    </row>
    <row r="25" spans="1:14" s="57" customFormat="1" x14ac:dyDescent="0.25">
      <c r="A25" s="93" t="s">
        <v>171</v>
      </c>
      <c r="B25" s="94" t="s">
        <v>173</v>
      </c>
      <c r="C25" s="95" t="s">
        <v>28</v>
      </c>
      <c r="D25" s="96">
        <v>100</v>
      </c>
      <c r="E25" s="96">
        <f t="shared" ref="E25:E29" si="6">ROUND(D25*$B$8*$B$9,2)</f>
        <v>100</v>
      </c>
      <c r="F25" s="96">
        <v>100</v>
      </c>
      <c r="G25" s="97">
        <f t="shared" ref="G25:G29" si="7">IFERROR(ROUND((F25/E25)-1,3),0)</f>
        <v>0</v>
      </c>
      <c r="H25" s="97">
        <f t="shared" ref="H25:H29" si="8">ROUND(IFERROR((F25/D25)-1,0),3)</f>
        <v>0</v>
      </c>
      <c r="I25" s="234">
        <v>100</v>
      </c>
      <c r="J25" s="234">
        <v>10</v>
      </c>
      <c r="K25" s="234">
        <v>5</v>
      </c>
      <c r="L25" s="98">
        <f t="shared" ref="L25:M29" si="9">IFERROR(ROUND(((E25*$I25)+(E25*$J25*0.8)+(E25*$K25*0.9)),2),0)</f>
        <v>11250</v>
      </c>
      <c r="M25" s="98">
        <f t="shared" si="9"/>
        <v>11250</v>
      </c>
      <c r="N25" s="98">
        <f t="shared" ref="N25:N29" si="10">ROUND(M25-L25,2)</f>
        <v>0</v>
      </c>
    </row>
    <row r="26" spans="1:14" s="57" customFormat="1" x14ac:dyDescent="0.25">
      <c r="A26" s="93"/>
      <c r="B26" s="93"/>
      <c r="C26" s="95"/>
      <c r="D26" s="233"/>
      <c r="E26" s="96">
        <f t="shared" si="6"/>
        <v>0</v>
      </c>
      <c r="F26" s="233"/>
      <c r="G26" s="97">
        <f t="shared" si="7"/>
        <v>0</v>
      </c>
      <c r="H26" s="97">
        <f t="shared" si="8"/>
        <v>0</v>
      </c>
      <c r="I26" s="234"/>
      <c r="J26" s="234"/>
      <c r="K26" s="234"/>
      <c r="L26" s="98">
        <f t="shared" si="9"/>
        <v>0</v>
      </c>
      <c r="M26" s="98">
        <f t="shared" si="9"/>
        <v>0</v>
      </c>
      <c r="N26" s="98">
        <f t="shared" si="10"/>
        <v>0</v>
      </c>
    </row>
    <row r="27" spans="1:14" s="57" customFormat="1" x14ac:dyDescent="0.25">
      <c r="A27" s="93"/>
      <c r="B27" s="93"/>
      <c r="C27" s="95"/>
      <c r="D27" s="233"/>
      <c r="E27" s="96">
        <f t="shared" si="6"/>
        <v>0</v>
      </c>
      <c r="F27" s="233"/>
      <c r="G27" s="97">
        <f t="shared" si="7"/>
        <v>0</v>
      </c>
      <c r="H27" s="97">
        <f t="shared" si="8"/>
        <v>0</v>
      </c>
      <c r="I27" s="234"/>
      <c r="J27" s="234"/>
      <c r="K27" s="234"/>
      <c r="L27" s="98">
        <f t="shared" si="9"/>
        <v>0</v>
      </c>
      <c r="M27" s="98">
        <f t="shared" si="9"/>
        <v>0</v>
      </c>
      <c r="N27" s="98">
        <f t="shared" si="10"/>
        <v>0</v>
      </c>
    </row>
    <row r="28" spans="1:14" s="57" customFormat="1" x14ac:dyDescent="0.25">
      <c r="A28" s="93"/>
      <c r="B28" s="93"/>
      <c r="C28" s="95"/>
      <c r="D28" s="233"/>
      <c r="E28" s="96">
        <f t="shared" si="6"/>
        <v>0</v>
      </c>
      <c r="F28" s="233"/>
      <c r="G28" s="97">
        <f t="shared" si="7"/>
        <v>0</v>
      </c>
      <c r="H28" s="97">
        <f t="shared" si="8"/>
        <v>0</v>
      </c>
      <c r="I28" s="234"/>
      <c r="J28" s="234"/>
      <c r="K28" s="234"/>
      <c r="L28" s="98">
        <f t="shared" si="9"/>
        <v>0</v>
      </c>
      <c r="M28" s="98">
        <f t="shared" si="9"/>
        <v>0</v>
      </c>
      <c r="N28" s="98">
        <f t="shared" si="10"/>
        <v>0</v>
      </c>
    </row>
    <row r="29" spans="1:14" s="57" customFormat="1" x14ac:dyDescent="0.25">
      <c r="A29" s="93"/>
      <c r="B29" s="93"/>
      <c r="C29" s="95"/>
      <c r="D29" s="233"/>
      <c r="E29" s="96">
        <f t="shared" si="6"/>
        <v>0</v>
      </c>
      <c r="F29" s="233"/>
      <c r="G29" s="97">
        <f t="shared" si="7"/>
        <v>0</v>
      </c>
      <c r="H29" s="97">
        <f t="shared" si="8"/>
        <v>0</v>
      </c>
      <c r="I29" s="234"/>
      <c r="J29" s="234"/>
      <c r="K29" s="234"/>
      <c r="L29" s="98">
        <f t="shared" si="9"/>
        <v>0</v>
      </c>
      <c r="M29" s="98">
        <f t="shared" si="9"/>
        <v>0</v>
      </c>
      <c r="N29" s="98">
        <f t="shared" si="10"/>
        <v>0</v>
      </c>
    </row>
    <row r="30" spans="1:14" s="199" customFormat="1" ht="30.75" customHeight="1" x14ac:dyDescent="0.25">
      <c r="A30" s="194"/>
      <c r="B30" s="195" t="s">
        <v>31</v>
      </c>
      <c r="C30" s="195" t="s">
        <v>29</v>
      </c>
      <c r="D30" s="201"/>
      <c r="E30" s="201"/>
      <c r="F30" s="201"/>
      <c r="G30" s="202"/>
      <c r="H30" s="202"/>
      <c r="I30" s="197"/>
      <c r="J30" s="197"/>
      <c r="K30" s="197"/>
      <c r="L30" s="198"/>
      <c r="M30" s="198"/>
      <c r="N30" s="198"/>
    </row>
    <row r="31" spans="1:14" s="57" customFormat="1" ht="15" customHeight="1" x14ac:dyDescent="0.25">
      <c r="A31" s="93" t="s">
        <v>171</v>
      </c>
      <c r="B31" s="93" t="s">
        <v>174</v>
      </c>
      <c r="C31" s="95" t="s">
        <v>29</v>
      </c>
      <c r="D31" s="233">
        <v>100</v>
      </c>
      <c r="E31" s="96">
        <f t="shared" ref="E31:E35" si="11">ROUND(D31*$B$8*$B$9,2)</f>
        <v>100</v>
      </c>
      <c r="F31" s="233">
        <v>100</v>
      </c>
      <c r="G31" s="97">
        <f t="shared" ref="G31:G35" si="12">IFERROR(ROUND((F31/E31)-1,3),0)</f>
        <v>0</v>
      </c>
      <c r="H31" s="97">
        <f t="shared" ref="H31:H35" si="13">ROUND(IFERROR((F31/D31)-1,0),3)</f>
        <v>0</v>
      </c>
      <c r="I31" s="234">
        <v>100</v>
      </c>
      <c r="J31" s="234">
        <v>10</v>
      </c>
      <c r="K31" s="234">
        <v>5</v>
      </c>
      <c r="L31" s="98">
        <f t="shared" ref="L31:M35" si="14">IFERROR(ROUND(((E31*$I31)+(E31*$J31*0.8)+(E31*$K31*0.9)),2),0)</f>
        <v>11250</v>
      </c>
      <c r="M31" s="98">
        <f t="shared" si="14"/>
        <v>11250</v>
      </c>
      <c r="N31" s="98">
        <f t="shared" ref="N31:N35" si="15">ROUND(M31-L31,2)</f>
        <v>0</v>
      </c>
    </row>
    <row r="32" spans="1:14" s="57" customFormat="1" x14ac:dyDescent="0.25">
      <c r="A32" s="93"/>
      <c r="B32" s="93"/>
      <c r="C32" s="95"/>
      <c r="D32" s="233"/>
      <c r="E32" s="96">
        <f t="shared" si="11"/>
        <v>0</v>
      </c>
      <c r="F32" s="233"/>
      <c r="G32" s="97">
        <f t="shared" si="12"/>
        <v>0</v>
      </c>
      <c r="H32" s="97">
        <f t="shared" si="13"/>
        <v>0</v>
      </c>
      <c r="I32" s="234"/>
      <c r="J32" s="234"/>
      <c r="K32" s="234"/>
      <c r="L32" s="98">
        <f t="shared" si="14"/>
        <v>0</v>
      </c>
      <c r="M32" s="98">
        <f t="shared" si="14"/>
        <v>0</v>
      </c>
      <c r="N32" s="98">
        <f t="shared" si="15"/>
        <v>0</v>
      </c>
    </row>
    <row r="33" spans="1:14" s="57" customFormat="1" x14ac:dyDescent="0.25">
      <c r="A33" s="93"/>
      <c r="B33" s="93"/>
      <c r="C33" s="95"/>
      <c r="D33" s="233"/>
      <c r="E33" s="96">
        <f t="shared" si="11"/>
        <v>0</v>
      </c>
      <c r="F33" s="233"/>
      <c r="G33" s="97">
        <f t="shared" si="12"/>
        <v>0</v>
      </c>
      <c r="H33" s="97">
        <f t="shared" si="13"/>
        <v>0</v>
      </c>
      <c r="I33" s="234"/>
      <c r="J33" s="234"/>
      <c r="K33" s="234"/>
      <c r="L33" s="98">
        <f t="shared" si="14"/>
        <v>0</v>
      </c>
      <c r="M33" s="98">
        <f t="shared" si="14"/>
        <v>0</v>
      </c>
      <c r="N33" s="98">
        <f t="shared" si="15"/>
        <v>0</v>
      </c>
    </row>
    <row r="34" spans="1:14" s="57" customFormat="1" x14ac:dyDescent="0.25">
      <c r="A34" s="93"/>
      <c r="B34" s="93"/>
      <c r="C34" s="95"/>
      <c r="D34" s="233"/>
      <c r="E34" s="96">
        <f t="shared" si="11"/>
        <v>0</v>
      </c>
      <c r="F34" s="233"/>
      <c r="G34" s="97">
        <f t="shared" si="12"/>
        <v>0</v>
      </c>
      <c r="H34" s="97">
        <f t="shared" si="13"/>
        <v>0</v>
      </c>
      <c r="I34" s="234"/>
      <c r="J34" s="234"/>
      <c r="K34" s="234"/>
      <c r="L34" s="98">
        <f t="shared" si="14"/>
        <v>0</v>
      </c>
      <c r="M34" s="98">
        <f t="shared" si="14"/>
        <v>0</v>
      </c>
      <c r="N34" s="98">
        <f t="shared" si="15"/>
        <v>0</v>
      </c>
    </row>
    <row r="35" spans="1:14" s="57" customFormat="1" x14ac:dyDescent="0.25">
      <c r="A35" s="93"/>
      <c r="B35" s="93"/>
      <c r="C35" s="95"/>
      <c r="D35" s="233"/>
      <c r="E35" s="96">
        <f t="shared" si="11"/>
        <v>0</v>
      </c>
      <c r="F35" s="233"/>
      <c r="G35" s="97">
        <f t="shared" si="12"/>
        <v>0</v>
      </c>
      <c r="H35" s="97">
        <f t="shared" si="13"/>
        <v>0</v>
      </c>
      <c r="I35" s="234"/>
      <c r="J35" s="234"/>
      <c r="K35" s="234"/>
      <c r="L35" s="98">
        <f t="shared" si="14"/>
        <v>0</v>
      </c>
      <c r="M35" s="98">
        <f t="shared" si="14"/>
        <v>0</v>
      </c>
      <c r="N35" s="98">
        <f t="shared" si="15"/>
        <v>0</v>
      </c>
    </row>
    <row r="36" spans="1:14" s="199" customFormat="1" ht="30.75" customHeight="1" x14ac:dyDescent="0.25">
      <c r="A36" s="194"/>
      <c r="B36" s="195" t="s">
        <v>30</v>
      </c>
      <c r="C36" s="195" t="s">
        <v>45</v>
      </c>
      <c r="D36" s="201"/>
      <c r="E36" s="201"/>
      <c r="F36" s="201"/>
      <c r="G36" s="202"/>
      <c r="H36" s="202"/>
      <c r="I36" s="197"/>
      <c r="J36" s="197"/>
      <c r="K36" s="197"/>
      <c r="L36" s="198"/>
      <c r="M36" s="198"/>
      <c r="N36" s="198"/>
    </row>
    <row r="37" spans="1:14" s="57" customFormat="1" x14ac:dyDescent="0.25">
      <c r="A37" s="93" t="s">
        <v>171</v>
      </c>
      <c r="B37" s="93" t="s">
        <v>175</v>
      </c>
      <c r="C37" s="95" t="s">
        <v>45</v>
      </c>
      <c r="D37" s="233">
        <v>100</v>
      </c>
      <c r="E37" s="96">
        <f t="shared" ref="E37:E41" si="16">ROUND(D37*$B$8*$B$9,2)</f>
        <v>100</v>
      </c>
      <c r="F37" s="233">
        <v>100</v>
      </c>
      <c r="G37" s="97">
        <f t="shared" ref="G37:G41" si="17">IFERROR(ROUND((F37/E37)-1,3),0)</f>
        <v>0</v>
      </c>
      <c r="H37" s="97">
        <f t="shared" ref="H37:H41" si="18">ROUND(IFERROR((F37/D37)-1,0),3)</f>
        <v>0</v>
      </c>
      <c r="I37" s="234">
        <v>100</v>
      </c>
      <c r="J37" s="234">
        <v>10</v>
      </c>
      <c r="K37" s="234">
        <v>5</v>
      </c>
      <c r="L37" s="98">
        <f t="shared" ref="L37:M41" si="19">IFERROR(ROUND(((E37*$I37)+(E37*$J37*0.8)+(E37*$K37*0.9)),2),0)</f>
        <v>11250</v>
      </c>
      <c r="M37" s="98">
        <f t="shared" si="19"/>
        <v>11250</v>
      </c>
      <c r="N37" s="98">
        <f t="shared" ref="N37:N41" si="20">ROUND(M37-L37,2)</f>
        <v>0</v>
      </c>
    </row>
    <row r="38" spans="1:14" s="57" customFormat="1" x14ac:dyDescent="0.25">
      <c r="A38" s="93"/>
      <c r="B38" s="93"/>
      <c r="C38" s="95"/>
      <c r="D38" s="233"/>
      <c r="E38" s="96">
        <f t="shared" si="16"/>
        <v>0</v>
      </c>
      <c r="F38" s="233"/>
      <c r="G38" s="97">
        <f t="shared" si="17"/>
        <v>0</v>
      </c>
      <c r="H38" s="97">
        <f t="shared" si="18"/>
        <v>0</v>
      </c>
      <c r="I38" s="234"/>
      <c r="J38" s="234"/>
      <c r="K38" s="234"/>
      <c r="L38" s="98">
        <f t="shared" si="19"/>
        <v>0</v>
      </c>
      <c r="M38" s="98">
        <f t="shared" si="19"/>
        <v>0</v>
      </c>
      <c r="N38" s="98">
        <f t="shared" si="20"/>
        <v>0</v>
      </c>
    </row>
    <row r="39" spans="1:14" s="57" customFormat="1" x14ac:dyDescent="0.25">
      <c r="A39" s="93"/>
      <c r="B39" s="93"/>
      <c r="C39" s="95"/>
      <c r="D39" s="233"/>
      <c r="E39" s="96">
        <f t="shared" si="16"/>
        <v>0</v>
      </c>
      <c r="F39" s="233"/>
      <c r="G39" s="97">
        <f t="shared" si="17"/>
        <v>0</v>
      </c>
      <c r="H39" s="97">
        <f t="shared" si="18"/>
        <v>0</v>
      </c>
      <c r="I39" s="234"/>
      <c r="J39" s="234"/>
      <c r="K39" s="234"/>
      <c r="L39" s="98">
        <f t="shared" si="19"/>
        <v>0</v>
      </c>
      <c r="M39" s="98">
        <f t="shared" si="19"/>
        <v>0</v>
      </c>
      <c r="N39" s="98">
        <f t="shared" si="20"/>
        <v>0</v>
      </c>
    </row>
    <row r="40" spans="1:14" s="57" customFormat="1" x14ac:dyDescent="0.25">
      <c r="A40" s="93"/>
      <c r="B40" s="93"/>
      <c r="C40" s="95"/>
      <c r="D40" s="233"/>
      <c r="E40" s="96">
        <f t="shared" si="16"/>
        <v>0</v>
      </c>
      <c r="F40" s="233"/>
      <c r="G40" s="97">
        <f t="shared" si="17"/>
        <v>0</v>
      </c>
      <c r="H40" s="97">
        <f t="shared" si="18"/>
        <v>0</v>
      </c>
      <c r="I40" s="234"/>
      <c r="J40" s="234"/>
      <c r="K40" s="234"/>
      <c r="L40" s="98">
        <f t="shared" si="19"/>
        <v>0</v>
      </c>
      <c r="M40" s="98">
        <f t="shared" si="19"/>
        <v>0</v>
      </c>
      <c r="N40" s="98">
        <f t="shared" si="20"/>
        <v>0</v>
      </c>
    </row>
    <row r="41" spans="1:14" s="57" customFormat="1" x14ac:dyDescent="0.25">
      <c r="A41" s="93"/>
      <c r="B41" s="93"/>
      <c r="C41" s="95"/>
      <c r="D41" s="233"/>
      <c r="E41" s="96">
        <f t="shared" si="16"/>
        <v>0</v>
      </c>
      <c r="F41" s="233"/>
      <c r="G41" s="97">
        <f t="shared" si="17"/>
        <v>0</v>
      </c>
      <c r="H41" s="97">
        <f t="shared" si="18"/>
        <v>0</v>
      </c>
      <c r="I41" s="234"/>
      <c r="J41" s="234"/>
      <c r="K41" s="234"/>
      <c r="L41" s="98">
        <f t="shared" si="19"/>
        <v>0</v>
      </c>
      <c r="M41" s="98">
        <f t="shared" si="19"/>
        <v>0</v>
      </c>
      <c r="N41" s="98">
        <f t="shared" si="20"/>
        <v>0</v>
      </c>
    </row>
    <row r="42" spans="1:14" s="199" customFormat="1" x14ac:dyDescent="0.25">
      <c r="A42" s="194"/>
      <c r="B42" s="195" t="s">
        <v>34</v>
      </c>
      <c r="C42" s="195" t="s">
        <v>35</v>
      </c>
      <c r="D42" s="201"/>
      <c r="E42" s="201"/>
      <c r="F42" s="201"/>
      <c r="G42" s="202"/>
      <c r="H42" s="202"/>
      <c r="I42" s="197"/>
      <c r="J42" s="197"/>
      <c r="K42" s="197"/>
      <c r="L42" s="198"/>
      <c r="M42" s="198"/>
      <c r="N42" s="198"/>
    </row>
    <row r="43" spans="1:14" s="57" customFormat="1" x14ac:dyDescent="0.25">
      <c r="A43" s="93" t="s">
        <v>171</v>
      </c>
      <c r="B43" s="93" t="s">
        <v>176</v>
      </c>
      <c r="C43" s="95" t="s">
        <v>35</v>
      </c>
      <c r="D43" s="233">
        <v>100</v>
      </c>
      <c r="E43" s="96">
        <f t="shared" ref="E43:E47" si="21">ROUND(D43*$B$8*$B$9,2)</f>
        <v>100</v>
      </c>
      <c r="F43" s="233">
        <v>100</v>
      </c>
      <c r="G43" s="97">
        <f t="shared" ref="G43:G47" si="22">IFERROR(ROUND((F43/E43)-1,3),0)</f>
        <v>0</v>
      </c>
      <c r="H43" s="97">
        <f t="shared" ref="H43:H47" si="23">ROUND(IFERROR((F43/D43)-1,0),3)</f>
        <v>0</v>
      </c>
      <c r="I43" s="234">
        <v>100</v>
      </c>
      <c r="J43" s="234">
        <v>10</v>
      </c>
      <c r="K43" s="234">
        <v>5</v>
      </c>
      <c r="L43" s="98">
        <f t="shared" ref="L43:M47" si="24">IFERROR(ROUND(((E43*$I43)+(E43*$J43*0.8)+(E43*$K43*0.9)),2),0)</f>
        <v>11250</v>
      </c>
      <c r="M43" s="98">
        <f t="shared" si="24"/>
        <v>11250</v>
      </c>
      <c r="N43" s="98">
        <f t="shared" ref="N43:N47" si="25">ROUND(M43-L43,2)</f>
        <v>0</v>
      </c>
    </row>
    <row r="44" spans="1:14" s="57" customFormat="1" x14ac:dyDescent="0.25">
      <c r="A44" s="93"/>
      <c r="B44" s="93"/>
      <c r="C44" s="95"/>
      <c r="D44" s="233"/>
      <c r="E44" s="96">
        <f t="shared" si="21"/>
        <v>0</v>
      </c>
      <c r="F44" s="233"/>
      <c r="G44" s="97">
        <f t="shared" si="22"/>
        <v>0</v>
      </c>
      <c r="H44" s="97">
        <f t="shared" si="23"/>
        <v>0</v>
      </c>
      <c r="I44" s="234"/>
      <c r="J44" s="234"/>
      <c r="K44" s="234"/>
      <c r="L44" s="98">
        <f t="shared" si="24"/>
        <v>0</v>
      </c>
      <c r="M44" s="98">
        <f t="shared" si="24"/>
        <v>0</v>
      </c>
      <c r="N44" s="98">
        <f t="shared" si="25"/>
        <v>0</v>
      </c>
    </row>
    <row r="45" spans="1:14" s="57" customFormat="1" x14ac:dyDescent="0.25">
      <c r="A45" s="93"/>
      <c r="B45" s="93"/>
      <c r="C45" s="95"/>
      <c r="D45" s="233"/>
      <c r="E45" s="96">
        <f t="shared" si="21"/>
        <v>0</v>
      </c>
      <c r="F45" s="233"/>
      <c r="G45" s="97">
        <f t="shared" si="22"/>
        <v>0</v>
      </c>
      <c r="H45" s="97">
        <f t="shared" si="23"/>
        <v>0</v>
      </c>
      <c r="I45" s="234"/>
      <c r="J45" s="234"/>
      <c r="K45" s="234"/>
      <c r="L45" s="98">
        <f t="shared" si="24"/>
        <v>0</v>
      </c>
      <c r="M45" s="98">
        <f t="shared" si="24"/>
        <v>0</v>
      </c>
      <c r="N45" s="98">
        <f t="shared" si="25"/>
        <v>0</v>
      </c>
    </row>
    <row r="46" spans="1:14" s="57" customFormat="1" x14ac:dyDescent="0.25">
      <c r="A46" s="93"/>
      <c r="B46" s="93"/>
      <c r="C46" s="95"/>
      <c r="D46" s="233"/>
      <c r="E46" s="96">
        <f t="shared" si="21"/>
        <v>0</v>
      </c>
      <c r="F46" s="233"/>
      <c r="G46" s="97">
        <f t="shared" si="22"/>
        <v>0</v>
      </c>
      <c r="H46" s="97">
        <f t="shared" si="23"/>
        <v>0</v>
      </c>
      <c r="I46" s="234"/>
      <c r="J46" s="234"/>
      <c r="K46" s="234"/>
      <c r="L46" s="98">
        <f t="shared" si="24"/>
        <v>0</v>
      </c>
      <c r="M46" s="98">
        <f t="shared" si="24"/>
        <v>0</v>
      </c>
      <c r="N46" s="98">
        <f t="shared" si="25"/>
        <v>0</v>
      </c>
    </row>
    <row r="47" spans="1:14" s="57" customFormat="1" x14ac:dyDescent="0.25">
      <c r="A47" s="93"/>
      <c r="B47" s="93"/>
      <c r="C47" s="95"/>
      <c r="D47" s="233"/>
      <c r="E47" s="96">
        <f t="shared" si="21"/>
        <v>0</v>
      </c>
      <c r="F47" s="233"/>
      <c r="G47" s="97">
        <f t="shared" si="22"/>
        <v>0</v>
      </c>
      <c r="H47" s="97">
        <f t="shared" si="23"/>
        <v>0</v>
      </c>
      <c r="I47" s="234"/>
      <c r="J47" s="234"/>
      <c r="K47" s="234"/>
      <c r="L47" s="98">
        <f t="shared" si="24"/>
        <v>0</v>
      </c>
      <c r="M47" s="98">
        <f t="shared" si="24"/>
        <v>0</v>
      </c>
      <c r="N47" s="98">
        <f t="shared" si="25"/>
        <v>0</v>
      </c>
    </row>
    <row r="48" spans="1:14" s="199" customFormat="1" ht="30" customHeight="1" x14ac:dyDescent="0.25">
      <c r="A48" s="194"/>
      <c r="B48" s="195" t="s">
        <v>36</v>
      </c>
      <c r="C48" s="195" t="s">
        <v>37</v>
      </c>
      <c r="D48" s="201"/>
      <c r="E48" s="201"/>
      <c r="F48" s="201"/>
      <c r="G48" s="202"/>
      <c r="H48" s="202"/>
      <c r="I48" s="197"/>
      <c r="J48" s="197"/>
      <c r="K48" s="197"/>
      <c r="L48" s="198"/>
      <c r="M48" s="198"/>
      <c r="N48" s="198"/>
    </row>
    <row r="49" spans="1:14" s="57" customFormat="1" x14ac:dyDescent="0.25">
      <c r="A49" s="93" t="s">
        <v>171</v>
      </c>
      <c r="B49" s="93" t="s">
        <v>177</v>
      </c>
      <c r="C49" s="95" t="s">
        <v>37</v>
      </c>
      <c r="D49" s="233">
        <v>100</v>
      </c>
      <c r="E49" s="96">
        <f t="shared" ref="E49:E53" si="26">ROUND(D49*$B$8*$B$9,2)</f>
        <v>100</v>
      </c>
      <c r="F49" s="233">
        <v>100</v>
      </c>
      <c r="G49" s="97">
        <f t="shared" ref="G49:G53" si="27">IFERROR(ROUND((F49/E49)-1,3),0)</f>
        <v>0</v>
      </c>
      <c r="H49" s="97">
        <f t="shared" ref="H49:H53" si="28">ROUND(IFERROR((F49/D49)-1,0),3)</f>
        <v>0</v>
      </c>
      <c r="I49" s="234">
        <v>100</v>
      </c>
      <c r="J49" s="234">
        <v>10</v>
      </c>
      <c r="K49" s="234">
        <v>5</v>
      </c>
      <c r="L49" s="98">
        <f t="shared" ref="L49:M53" si="29">IFERROR(ROUND(((E49*$I49)+(E49*$J49*0.8)+(E49*$K49*0.9)),2),0)</f>
        <v>11250</v>
      </c>
      <c r="M49" s="98">
        <f t="shared" si="29"/>
        <v>11250</v>
      </c>
      <c r="N49" s="98">
        <f t="shared" ref="N49:N53" si="30">ROUND(M49-L49,2)</f>
        <v>0</v>
      </c>
    </row>
    <row r="50" spans="1:14" s="57" customFormat="1" x14ac:dyDescent="0.25">
      <c r="A50" s="93"/>
      <c r="B50" s="93"/>
      <c r="C50" s="95"/>
      <c r="D50" s="233"/>
      <c r="E50" s="96">
        <f t="shared" si="26"/>
        <v>0</v>
      </c>
      <c r="F50" s="233"/>
      <c r="G50" s="97">
        <f t="shared" si="27"/>
        <v>0</v>
      </c>
      <c r="H50" s="97">
        <f t="shared" si="28"/>
        <v>0</v>
      </c>
      <c r="I50" s="234"/>
      <c r="J50" s="234"/>
      <c r="K50" s="234"/>
      <c r="L50" s="98">
        <f t="shared" si="29"/>
        <v>0</v>
      </c>
      <c r="M50" s="98">
        <f t="shared" si="29"/>
        <v>0</v>
      </c>
      <c r="N50" s="98">
        <f t="shared" si="30"/>
        <v>0</v>
      </c>
    </row>
    <row r="51" spans="1:14" s="57" customFormat="1" x14ac:dyDescent="0.25">
      <c r="A51" s="93"/>
      <c r="B51" s="93"/>
      <c r="C51" s="95"/>
      <c r="D51" s="233"/>
      <c r="E51" s="96">
        <f t="shared" si="26"/>
        <v>0</v>
      </c>
      <c r="F51" s="233"/>
      <c r="G51" s="97">
        <f t="shared" si="27"/>
        <v>0</v>
      </c>
      <c r="H51" s="97">
        <f t="shared" si="28"/>
        <v>0</v>
      </c>
      <c r="I51" s="234"/>
      <c r="J51" s="234"/>
      <c r="K51" s="234"/>
      <c r="L51" s="98">
        <f t="shared" si="29"/>
        <v>0</v>
      </c>
      <c r="M51" s="98">
        <f t="shared" si="29"/>
        <v>0</v>
      </c>
      <c r="N51" s="98">
        <f t="shared" si="30"/>
        <v>0</v>
      </c>
    </row>
    <row r="52" spans="1:14" s="57" customFormat="1" x14ac:dyDescent="0.25">
      <c r="A52" s="93"/>
      <c r="B52" s="93"/>
      <c r="C52" s="95"/>
      <c r="D52" s="233"/>
      <c r="E52" s="96">
        <f t="shared" si="26"/>
        <v>0</v>
      </c>
      <c r="F52" s="233"/>
      <c r="G52" s="97">
        <f t="shared" si="27"/>
        <v>0</v>
      </c>
      <c r="H52" s="97">
        <f t="shared" si="28"/>
        <v>0</v>
      </c>
      <c r="I52" s="234"/>
      <c r="J52" s="234"/>
      <c r="K52" s="234"/>
      <c r="L52" s="98">
        <f t="shared" si="29"/>
        <v>0</v>
      </c>
      <c r="M52" s="98">
        <f t="shared" si="29"/>
        <v>0</v>
      </c>
      <c r="N52" s="98">
        <f t="shared" si="30"/>
        <v>0</v>
      </c>
    </row>
    <row r="53" spans="1:14" s="57" customFormat="1" x14ac:dyDescent="0.25">
      <c r="A53" s="93"/>
      <c r="B53" s="93"/>
      <c r="C53" s="95"/>
      <c r="D53" s="233"/>
      <c r="E53" s="96">
        <f t="shared" si="26"/>
        <v>0</v>
      </c>
      <c r="F53" s="233"/>
      <c r="G53" s="97">
        <f t="shared" si="27"/>
        <v>0</v>
      </c>
      <c r="H53" s="97">
        <f t="shared" si="28"/>
        <v>0</v>
      </c>
      <c r="I53" s="234"/>
      <c r="J53" s="234"/>
      <c r="K53" s="234"/>
      <c r="L53" s="98">
        <f t="shared" si="29"/>
        <v>0</v>
      </c>
      <c r="M53" s="98">
        <f t="shared" si="29"/>
        <v>0</v>
      </c>
      <c r="N53" s="98">
        <f t="shared" si="30"/>
        <v>0</v>
      </c>
    </row>
    <row r="54" spans="1:14" s="199" customFormat="1" ht="32.25" customHeight="1" x14ac:dyDescent="0.25">
      <c r="A54" s="194"/>
      <c r="B54" s="195" t="s">
        <v>38</v>
      </c>
      <c r="C54" s="195" t="s">
        <v>39</v>
      </c>
      <c r="D54" s="201"/>
      <c r="E54" s="201"/>
      <c r="F54" s="201"/>
      <c r="G54" s="202"/>
      <c r="H54" s="202"/>
      <c r="I54" s="197"/>
      <c r="J54" s="197"/>
      <c r="K54" s="197"/>
      <c r="L54" s="198"/>
      <c r="M54" s="198"/>
      <c r="N54" s="198"/>
    </row>
    <row r="55" spans="1:14" s="57" customFormat="1" x14ac:dyDescent="0.25">
      <c r="A55" s="93" t="s">
        <v>171</v>
      </c>
      <c r="B55" s="93" t="s">
        <v>178</v>
      </c>
      <c r="C55" s="95" t="s">
        <v>39</v>
      </c>
      <c r="D55" s="233">
        <v>100</v>
      </c>
      <c r="E55" s="96">
        <f t="shared" ref="E55:E59" si="31">ROUND(D55*$B$8*$B$9,2)</f>
        <v>100</v>
      </c>
      <c r="F55" s="233">
        <v>100</v>
      </c>
      <c r="G55" s="97">
        <f t="shared" ref="G55:G59" si="32">IFERROR(ROUND((F55/E55)-1,3),0)</f>
        <v>0</v>
      </c>
      <c r="H55" s="97">
        <f t="shared" ref="H55:H59" si="33">ROUND(IFERROR((F55/D55)-1,0),3)</f>
        <v>0</v>
      </c>
      <c r="I55" s="234">
        <v>100</v>
      </c>
      <c r="J55" s="234">
        <v>10</v>
      </c>
      <c r="K55" s="234">
        <v>5</v>
      </c>
      <c r="L55" s="98">
        <f t="shared" ref="L55:M59" si="34">IFERROR(ROUND(((E55*$I55)+(E55*$J55*0.8)+(E55*$K55*0.9)),2),0)</f>
        <v>11250</v>
      </c>
      <c r="M55" s="98">
        <f t="shared" si="34"/>
        <v>11250</v>
      </c>
      <c r="N55" s="98">
        <f t="shared" ref="N55:N59" si="35">ROUND(M55-L55,2)</f>
        <v>0</v>
      </c>
    </row>
    <row r="56" spans="1:14" s="57" customFormat="1" x14ac:dyDescent="0.25">
      <c r="A56" s="93"/>
      <c r="B56" s="93"/>
      <c r="C56" s="95"/>
      <c r="D56" s="233"/>
      <c r="E56" s="96">
        <f t="shared" si="31"/>
        <v>0</v>
      </c>
      <c r="F56" s="233"/>
      <c r="G56" s="97">
        <f t="shared" si="32"/>
        <v>0</v>
      </c>
      <c r="H56" s="97">
        <f t="shared" si="33"/>
        <v>0</v>
      </c>
      <c r="I56" s="234"/>
      <c r="J56" s="234"/>
      <c r="K56" s="234"/>
      <c r="L56" s="98">
        <f t="shared" si="34"/>
        <v>0</v>
      </c>
      <c r="M56" s="98">
        <f t="shared" si="34"/>
        <v>0</v>
      </c>
      <c r="N56" s="98">
        <f t="shared" si="35"/>
        <v>0</v>
      </c>
    </row>
    <row r="57" spans="1:14" s="57" customFormat="1" x14ac:dyDescent="0.25">
      <c r="A57" s="93"/>
      <c r="B57" s="93"/>
      <c r="C57" s="95"/>
      <c r="D57" s="233"/>
      <c r="E57" s="96">
        <f t="shared" si="31"/>
        <v>0</v>
      </c>
      <c r="F57" s="233"/>
      <c r="G57" s="97">
        <f t="shared" si="32"/>
        <v>0</v>
      </c>
      <c r="H57" s="97">
        <f t="shared" si="33"/>
        <v>0</v>
      </c>
      <c r="I57" s="234"/>
      <c r="J57" s="234"/>
      <c r="K57" s="234"/>
      <c r="L57" s="98">
        <f t="shared" si="34"/>
        <v>0</v>
      </c>
      <c r="M57" s="98">
        <f t="shared" si="34"/>
        <v>0</v>
      </c>
      <c r="N57" s="98">
        <f t="shared" si="35"/>
        <v>0</v>
      </c>
    </row>
    <row r="58" spans="1:14" s="57" customFormat="1" x14ac:dyDescent="0.25">
      <c r="A58" s="93"/>
      <c r="B58" s="93"/>
      <c r="C58" s="95"/>
      <c r="D58" s="233"/>
      <c r="E58" s="96">
        <f t="shared" si="31"/>
        <v>0</v>
      </c>
      <c r="F58" s="233"/>
      <c r="G58" s="97">
        <f t="shared" si="32"/>
        <v>0</v>
      </c>
      <c r="H58" s="97">
        <f t="shared" si="33"/>
        <v>0</v>
      </c>
      <c r="I58" s="234"/>
      <c r="J58" s="234"/>
      <c r="K58" s="234"/>
      <c r="L58" s="98">
        <f t="shared" si="34"/>
        <v>0</v>
      </c>
      <c r="M58" s="98">
        <f t="shared" si="34"/>
        <v>0</v>
      </c>
      <c r="N58" s="98">
        <f t="shared" si="35"/>
        <v>0</v>
      </c>
    </row>
    <row r="59" spans="1:14" s="57" customFormat="1" x14ac:dyDescent="0.25">
      <c r="A59" s="93"/>
      <c r="B59" s="93"/>
      <c r="C59" s="95"/>
      <c r="D59" s="233"/>
      <c r="E59" s="96">
        <f t="shared" si="31"/>
        <v>0</v>
      </c>
      <c r="F59" s="233"/>
      <c r="G59" s="97">
        <f t="shared" si="32"/>
        <v>0</v>
      </c>
      <c r="H59" s="97">
        <f t="shared" si="33"/>
        <v>0</v>
      </c>
      <c r="I59" s="234"/>
      <c r="J59" s="234"/>
      <c r="K59" s="234"/>
      <c r="L59" s="98">
        <f t="shared" si="34"/>
        <v>0</v>
      </c>
      <c r="M59" s="98">
        <f t="shared" si="34"/>
        <v>0</v>
      </c>
      <c r="N59" s="98">
        <f t="shared" si="35"/>
        <v>0</v>
      </c>
    </row>
    <row r="60" spans="1:14" s="199" customFormat="1" x14ac:dyDescent="0.25">
      <c r="A60" s="194"/>
      <c r="B60" s="195" t="s">
        <v>41</v>
      </c>
      <c r="C60" s="195" t="s">
        <v>42</v>
      </c>
      <c r="D60" s="201"/>
      <c r="E60" s="201"/>
      <c r="F60" s="201"/>
      <c r="G60" s="202"/>
      <c r="H60" s="202"/>
      <c r="I60" s="197"/>
      <c r="J60" s="197"/>
      <c r="K60" s="197"/>
      <c r="L60" s="198"/>
      <c r="M60" s="198"/>
      <c r="N60" s="198"/>
    </row>
    <row r="61" spans="1:14" s="57" customFormat="1" x14ac:dyDescent="0.25">
      <c r="A61" s="93" t="s">
        <v>171</v>
      </c>
      <c r="B61" s="93" t="s">
        <v>179</v>
      </c>
      <c r="C61" s="95" t="s">
        <v>42</v>
      </c>
      <c r="D61" s="233">
        <v>100</v>
      </c>
      <c r="E61" s="96">
        <f t="shared" ref="E61:E65" si="36">ROUND(D61*$B$8*$B$9,2)</f>
        <v>100</v>
      </c>
      <c r="F61" s="233">
        <v>100</v>
      </c>
      <c r="G61" s="97">
        <f t="shared" ref="G61:G65" si="37">IFERROR(ROUND((F61/E61)-1,3),0)</f>
        <v>0</v>
      </c>
      <c r="H61" s="97">
        <f t="shared" ref="H61:H65" si="38">ROUND(IFERROR((F61/D61)-1,0),3)</f>
        <v>0</v>
      </c>
      <c r="I61" s="234">
        <v>100</v>
      </c>
      <c r="J61" s="234">
        <v>10</v>
      </c>
      <c r="K61" s="234">
        <v>5</v>
      </c>
      <c r="L61" s="98">
        <f t="shared" ref="L61:M65" si="39">IFERROR(ROUND(((E61*$I61)+(E61*$J61*0.8)+(E61*$K61*0.9)),2),0)</f>
        <v>11250</v>
      </c>
      <c r="M61" s="98">
        <f t="shared" si="39"/>
        <v>11250</v>
      </c>
      <c r="N61" s="98">
        <f t="shared" ref="N61:N65" si="40">ROUND(M61-L61,2)</f>
        <v>0</v>
      </c>
    </row>
    <row r="62" spans="1:14" s="57" customFormat="1" x14ac:dyDescent="0.25">
      <c r="A62" s="93"/>
      <c r="B62" s="93"/>
      <c r="C62" s="95"/>
      <c r="D62" s="233"/>
      <c r="E62" s="96">
        <f t="shared" si="36"/>
        <v>0</v>
      </c>
      <c r="F62" s="233"/>
      <c r="G62" s="97">
        <f t="shared" si="37"/>
        <v>0</v>
      </c>
      <c r="H62" s="97">
        <f t="shared" si="38"/>
        <v>0</v>
      </c>
      <c r="I62" s="234"/>
      <c r="J62" s="234"/>
      <c r="K62" s="234"/>
      <c r="L62" s="98">
        <f t="shared" si="39"/>
        <v>0</v>
      </c>
      <c r="M62" s="98">
        <f t="shared" si="39"/>
        <v>0</v>
      </c>
      <c r="N62" s="98">
        <f t="shared" si="40"/>
        <v>0</v>
      </c>
    </row>
    <row r="63" spans="1:14" s="57" customFormat="1" x14ac:dyDescent="0.25">
      <c r="A63" s="93"/>
      <c r="B63" s="93"/>
      <c r="C63" s="95"/>
      <c r="D63" s="233"/>
      <c r="E63" s="96">
        <f t="shared" si="36"/>
        <v>0</v>
      </c>
      <c r="F63" s="233"/>
      <c r="G63" s="97">
        <f t="shared" si="37"/>
        <v>0</v>
      </c>
      <c r="H63" s="97">
        <f t="shared" si="38"/>
        <v>0</v>
      </c>
      <c r="I63" s="234"/>
      <c r="J63" s="234"/>
      <c r="K63" s="234"/>
      <c r="L63" s="98">
        <f t="shared" si="39"/>
        <v>0</v>
      </c>
      <c r="M63" s="98">
        <f t="shared" si="39"/>
        <v>0</v>
      </c>
      <c r="N63" s="98">
        <f t="shared" si="40"/>
        <v>0</v>
      </c>
    </row>
    <row r="64" spans="1:14" s="57" customFormat="1" x14ac:dyDescent="0.25">
      <c r="A64" s="93"/>
      <c r="B64" s="93"/>
      <c r="C64" s="95"/>
      <c r="D64" s="233"/>
      <c r="E64" s="96">
        <f t="shared" si="36"/>
        <v>0</v>
      </c>
      <c r="F64" s="233"/>
      <c r="G64" s="97">
        <f t="shared" si="37"/>
        <v>0</v>
      </c>
      <c r="H64" s="97">
        <f t="shared" si="38"/>
        <v>0</v>
      </c>
      <c r="I64" s="234"/>
      <c r="J64" s="234"/>
      <c r="K64" s="234"/>
      <c r="L64" s="98">
        <f t="shared" si="39"/>
        <v>0</v>
      </c>
      <c r="M64" s="98">
        <f t="shared" si="39"/>
        <v>0</v>
      </c>
      <c r="N64" s="98">
        <f t="shared" si="40"/>
        <v>0</v>
      </c>
    </row>
    <row r="65" spans="1:15" s="57" customFormat="1" x14ac:dyDescent="0.25">
      <c r="A65" s="93"/>
      <c r="B65" s="93"/>
      <c r="C65" s="95"/>
      <c r="D65" s="233"/>
      <c r="E65" s="96">
        <f t="shared" si="36"/>
        <v>0</v>
      </c>
      <c r="F65" s="233"/>
      <c r="G65" s="97">
        <f t="shared" si="37"/>
        <v>0</v>
      </c>
      <c r="H65" s="97">
        <f t="shared" si="38"/>
        <v>0</v>
      </c>
      <c r="I65" s="234"/>
      <c r="J65" s="234"/>
      <c r="K65" s="234"/>
      <c r="L65" s="98">
        <f t="shared" si="39"/>
        <v>0</v>
      </c>
      <c r="M65" s="98">
        <f t="shared" si="39"/>
        <v>0</v>
      </c>
      <c r="N65" s="98">
        <f t="shared" si="40"/>
        <v>0</v>
      </c>
    </row>
    <row r="66" spans="1:15" s="199" customFormat="1" ht="30" x14ac:dyDescent="0.25">
      <c r="A66" s="194"/>
      <c r="B66" s="195" t="s">
        <v>43</v>
      </c>
      <c r="C66" s="195" t="s">
        <v>44</v>
      </c>
      <c r="D66" s="201"/>
      <c r="E66" s="201"/>
      <c r="F66" s="201"/>
      <c r="G66" s="202"/>
      <c r="H66" s="202"/>
      <c r="I66" s="197"/>
      <c r="J66" s="197"/>
      <c r="K66" s="197"/>
      <c r="L66" s="198"/>
      <c r="M66" s="198"/>
      <c r="N66" s="198"/>
    </row>
    <row r="67" spans="1:15" s="57" customFormat="1" ht="30" x14ac:dyDescent="0.25">
      <c r="A67" s="93" t="s">
        <v>171</v>
      </c>
      <c r="B67" s="94" t="s">
        <v>180</v>
      </c>
      <c r="C67" s="95" t="s">
        <v>44</v>
      </c>
      <c r="D67" s="96">
        <v>100</v>
      </c>
      <c r="E67" s="96">
        <f t="shared" ref="E67:E71" si="41">ROUND(D67*$B$8*$B$9,2)</f>
        <v>100</v>
      </c>
      <c r="F67" s="96">
        <v>100</v>
      </c>
      <c r="G67" s="97">
        <f t="shared" ref="G67:G71" si="42">IFERROR(ROUND((F67/E67)-1,3),0)</f>
        <v>0</v>
      </c>
      <c r="H67" s="97">
        <f t="shared" ref="H67:H71" si="43">ROUND(IFERROR((F67/D67)-1,0),3)</f>
        <v>0</v>
      </c>
      <c r="I67" s="234">
        <v>100</v>
      </c>
      <c r="J67" s="234">
        <v>10</v>
      </c>
      <c r="K67" s="234">
        <v>5</v>
      </c>
      <c r="L67" s="98">
        <f t="shared" ref="L67:M71" si="44">IFERROR(ROUND(((E67*$I67)+(E67*$J67*0.8)+(E67*$K67*0.9)),2),0)</f>
        <v>11250</v>
      </c>
      <c r="M67" s="98">
        <f t="shared" si="44"/>
        <v>11250</v>
      </c>
      <c r="N67" s="98">
        <f t="shared" ref="N67:N71" si="45">ROUND(M67-L67,2)</f>
        <v>0</v>
      </c>
    </row>
    <row r="68" spans="1:15" s="57" customFormat="1" x14ac:dyDescent="0.25">
      <c r="A68" s="93"/>
      <c r="B68" s="93"/>
      <c r="C68" s="95"/>
      <c r="D68" s="233"/>
      <c r="E68" s="96">
        <f t="shared" si="41"/>
        <v>0</v>
      </c>
      <c r="F68" s="233"/>
      <c r="G68" s="97">
        <f t="shared" si="42"/>
        <v>0</v>
      </c>
      <c r="H68" s="97">
        <f t="shared" si="43"/>
        <v>0</v>
      </c>
      <c r="I68" s="234"/>
      <c r="J68" s="234"/>
      <c r="K68" s="234"/>
      <c r="L68" s="98">
        <f t="shared" si="44"/>
        <v>0</v>
      </c>
      <c r="M68" s="98">
        <f t="shared" si="44"/>
        <v>0</v>
      </c>
      <c r="N68" s="98">
        <f t="shared" si="45"/>
        <v>0</v>
      </c>
    </row>
    <row r="69" spans="1:15" s="57" customFormat="1" x14ac:dyDescent="0.25">
      <c r="A69" s="93"/>
      <c r="B69" s="93"/>
      <c r="C69" s="95"/>
      <c r="D69" s="233"/>
      <c r="E69" s="96">
        <f t="shared" si="41"/>
        <v>0</v>
      </c>
      <c r="F69" s="233"/>
      <c r="G69" s="97">
        <f t="shared" si="42"/>
        <v>0</v>
      </c>
      <c r="H69" s="97">
        <f t="shared" si="43"/>
        <v>0</v>
      </c>
      <c r="I69" s="234"/>
      <c r="J69" s="234"/>
      <c r="K69" s="234"/>
      <c r="L69" s="98">
        <f t="shared" si="44"/>
        <v>0</v>
      </c>
      <c r="M69" s="98">
        <f t="shared" si="44"/>
        <v>0</v>
      </c>
      <c r="N69" s="98">
        <f t="shared" si="45"/>
        <v>0</v>
      </c>
    </row>
    <row r="70" spans="1:15" s="57" customFormat="1" x14ac:dyDescent="0.25">
      <c r="A70" s="93"/>
      <c r="B70" s="93"/>
      <c r="C70" s="95"/>
      <c r="D70" s="233"/>
      <c r="E70" s="96">
        <f t="shared" si="41"/>
        <v>0</v>
      </c>
      <c r="F70" s="233"/>
      <c r="G70" s="97">
        <f t="shared" si="42"/>
        <v>0</v>
      </c>
      <c r="H70" s="97">
        <f t="shared" si="43"/>
        <v>0</v>
      </c>
      <c r="I70" s="234"/>
      <c r="J70" s="234"/>
      <c r="K70" s="234"/>
      <c r="L70" s="98">
        <f t="shared" si="44"/>
        <v>0</v>
      </c>
      <c r="M70" s="98">
        <f t="shared" si="44"/>
        <v>0</v>
      </c>
      <c r="N70" s="98">
        <f t="shared" si="45"/>
        <v>0</v>
      </c>
    </row>
    <row r="71" spans="1:15" s="57" customFormat="1" x14ac:dyDescent="0.25">
      <c r="A71" s="93"/>
      <c r="B71" s="93"/>
      <c r="C71" s="95"/>
      <c r="D71" s="233"/>
      <c r="E71" s="96">
        <f t="shared" si="41"/>
        <v>0</v>
      </c>
      <c r="F71" s="233"/>
      <c r="G71" s="97">
        <f t="shared" si="42"/>
        <v>0</v>
      </c>
      <c r="H71" s="97">
        <f t="shared" si="43"/>
        <v>0</v>
      </c>
      <c r="I71" s="234"/>
      <c r="J71" s="234"/>
      <c r="K71" s="234"/>
      <c r="L71" s="98">
        <f t="shared" si="44"/>
        <v>0</v>
      </c>
      <c r="M71" s="98">
        <f t="shared" si="44"/>
        <v>0</v>
      </c>
      <c r="N71" s="98">
        <f t="shared" si="45"/>
        <v>0</v>
      </c>
    </row>
    <row r="72" spans="1:15" s="199" customFormat="1" ht="30" x14ac:dyDescent="0.25">
      <c r="A72" s="194"/>
      <c r="B72" s="195" t="s">
        <v>52</v>
      </c>
      <c r="C72" s="195" t="s">
        <v>53</v>
      </c>
      <c r="D72" s="201"/>
      <c r="E72" s="201"/>
      <c r="F72" s="201"/>
      <c r="G72" s="202"/>
      <c r="H72" s="202"/>
      <c r="I72" s="197"/>
      <c r="J72" s="197"/>
      <c r="K72" s="197"/>
      <c r="L72" s="198"/>
      <c r="M72" s="198"/>
      <c r="N72" s="198"/>
    </row>
    <row r="73" spans="1:15" s="57" customFormat="1" x14ac:dyDescent="0.25">
      <c r="A73" s="93" t="s">
        <v>171</v>
      </c>
      <c r="B73" s="93" t="s">
        <v>181</v>
      </c>
      <c r="C73" s="95" t="s">
        <v>53</v>
      </c>
      <c r="D73" s="233">
        <v>100</v>
      </c>
      <c r="E73" s="96">
        <f t="shared" ref="E73:E77" si="46">ROUND(D73*$B$8*$B$9,2)</f>
        <v>100</v>
      </c>
      <c r="F73" s="233">
        <v>100</v>
      </c>
      <c r="G73" s="97">
        <f t="shared" ref="G73:G77" si="47">IFERROR(ROUND((F73/E73)-1,3),0)</f>
        <v>0</v>
      </c>
      <c r="H73" s="97">
        <f t="shared" ref="H73:H77" si="48">ROUND(IFERROR((F73/D73)-1,0),3)</f>
        <v>0</v>
      </c>
      <c r="I73" s="234">
        <v>100</v>
      </c>
      <c r="J73" s="234">
        <v>10</v>
      </c>
      <c r="K73" s="234">
        <v>5</v>
      </c>
      <c r="L73" s="98">
        <f t="shared" ref="L73:M77" si="49">IFERROR(ROUND(((E73*$I73)+(E73*$J73*0.8)+(E73*$K73*0.9)),2),0)</f>
        <v>11250</v>
      </c>
      <c r="M73" s="98">
        <f t="shared" si="49"/>
        <v>11250</v>
      </c>
      <c r="N73" s="98">
        <f t="shared" ref="N73:N77" si="50">ROUND(M73-L73,2)</f>
        <v>0</v>
      </c>
    </row>
    <row r="74" spans="1:15" s="57" customFormat="1" x14ac:dyDescent="0.25">
      <c r="A74" s="93"/>
      <c r="B74" s="93"/>
      <c r="C74" s="95"/>
      <c r="D74" s="233"/>
      <c r="E74" s="96">
        <f t="shared" si="46"/>
        <v>0</v>
      </c>
      <c r="F74" s="233"/>
      <c r="G74" s="97">
        <f t="shared" si="47"/>
        <v>0</v>
      </c>
      <c r="H74" s="97">
        <f t="shared" si="48"/>
        <v>0</v>
      </c>
      <c r="I74" s="234"/>
      <c r="J74" s="234"/>
      <c r="K74" s="234"/>
      <c r="L74" s="98">
        <f t="shared" si="49"/>
        <v>0</v>
      </c>
      <c r="M74" s="98">
        <f t="shared" si="49"/>
        <v>0</v>
      </c>
      <c r="N74" s="98">
        <f t="shared" si="50"/>
        <v>0</v>
      </c>
    </row>
    <row r="75" spans="1:15" s="57" customFormat="1" x14ac:dyDescent="0.25">
      <c r="A75" s="93"/>
      <c r="B75" s="93"/>
      <c r="C75" s="95"/>
      <c r="D75" s="233"/>
      <c r="E75" s="96">
        <f t="shared" si="46"/>
        <v>0</v>
      </c>
      <c r="F75" s="233"/>
      <c r="G75" s="97">
        <f t="shared" si="47"/>
        <v>0</v>
      </c>
      <c r="H75" s="97">
        <f t="shared" si="48"/>
        <v>0</v>
      </c>
      <c r="I75" s="234"/>
      <c r="J75" s="234"/>
      <c r="K75" s="234"/>
      <c r="L75" s="98">
        <f t="shared" si="49"/>
        <v>0</v>
      </c>
      <c r="M75" s="98">
        <f t="shared" si="49"/>
        <v>0</v>
      </c>
      <c r="N75" s="98">
        <f t="shared" si="50"/>
        <v>0</v>
      </c>
    </row>
    <row r="76" spans="1:15" s="57" customFormat="1" x14ac:dyDescent="0.25">
      <c r="A76" s="93"/>
      <c r="B76" s="93"/>
      <c r="C76" s="95"/>
      <c r="D76" s="233"/>
      <c r="E76" s="96">
        <f t="shared" si="46"/>
        <v>0</v>
      </c>
      <c r="F76" s="233"/>
      <c r="G76" s="97">
        <f t="shared" si="47"/>
        <v>0</v>
      </c>
      <c r="H76" s="97">
        <f t="shared" si="48"/>
        <v>0</v>
      </c>
      <c r="I76" s="234"/>
      <c r="J76" s="234"/>
      <c r="K76" s="234"/>
      <c r="L76" s="98">
        <f t="shared" si="49"/>
        <v>0</v>
      </c>
      <c r="M76" s="98">
        <f t="shared" si="49"/>
        <v>0</v>
      </c>
      <c r="N76" s="98">
        <f t="shared" si="50"/>
        <v>0</v>
      </c>
    </row>
    <row r="77" spans="1:15" s="57" customFormat="1" x14ac:dyDescent="0.25">
      <c r="A77" s="93"/>
      <c r="B77" s="93"/>
      <c r="C77" s="95"/>
      <c r="D77" s="233"/>
      <c r="E77" s="96">
        <f t="shared" si="46"/>
        <v>0</v>
      </c>
      <c r="F77" s="233"/>
      <c r="G77" s="97">
        <f t="shared" si="47"/>
        <v>0</v>
      </c>
      <c r="H77" s="97">
        <f t="shared" si="48"/>
        <v>0</v>
      </c>
      <c r="I77" s="234"/>
      <c r="J77" s="234"/>
      <c r="K77" s="234"/>
      <c r="L77" s="98">
        <f t="shared" si="49"/>
        <v>0</v>
      </c>
      <c r="M77" s="98">
        <f t="shared" si="49"/>
        <v>0</v>
      </c>
      <c r="N77" s="98">
        <f t="shared" si="50"/>
        <v>0</v>
      </c>
    </row>
    <row r="78" spans="1:15" s="57" customFormat="1" x14ac:dyDescent="0.25">
      <c r="A78" s="146"/>
      <c r="C78" s="80"/>
      <c r="D78" s="147"/>
      <c r="E78" s="147"/>
      <c r="F78" s="147"/>
      <c r="G78" s="148"/>
      <c r="H78" s="148"/>
      <c r="I78" s="149"/>
      <c r="J78" s="149"/>
      <c r="K78" s="149"/>
      <c r="L78" s="150"/>
      <c r="M78" s="150"/>
      <c r="N78" s="150"/>
    </row>
    <row r="79" spans="1:15" s="57" customFormat="1" x14ac:dyDescent="0.25">
      <c r="A79" s="146"/>
      <c r="C79" s="80"/>
      <c r="D79" s="147"/>
      <c r="E79" s="147"/>
      <c r="F79" s="147"/>
      <c r="G79" s="148"/>
      <c r="H79" s="148"/>
      <c r="I79" s="149"/>
      <c r="J79" s="149"/>
      <c r="K79" s="149"/>
      <c r="L79" s="150"/>
      <c r="M79" s="150"/>
      <c r="N79" s="150"/>
    </row>
    <row r="80" spans="1:15" ht="15.75" thickBot="1" x14ac:dyDescent="0.3">
      <c r="M80" s="72"/>
      <c r="N80" s="72"/>
      <c r="O80" s="72"/>
    </row>
    <row r="81" spans="1:15" ht="14.45" customHeight="1" x14ac:dyDescent="0.25">
      <c r="A81" s="347" t="s">
        <v>15</v>
      </c>
      <c r="B81" s="348"/>
      <c r="C81" s="348"/>
      <c r="D81" s="348"/>
      <c r="E81" s="348"/>
      <c r="F81" s="348"/>
      <c r="G81" s="348"/>
      <c r="H81" s="348"/>
      <c r="I81" s="348"/>
      <c r="J81" s="348"/>
      <c r="K81" s="348"/>
      <c r="L81" s="349"/>
      <c r="M81" s="70"/>
      <c r="N81" s="70"/>
      <c r="O81" s="70"/>
    </row>
    <row r="82" spans="1:15" ht="14.45" customHeight="1" thickBot="1" x14ac:dyDescent="0.3">
      <c r="A82" s="350"/>
      <c r="B82" s="351"/>
      <c r="C82" s="351"/>
      <c r="D82" s="351"/>
      <c r="E82" s="351"/>
      <c r="F82" s="351"/>
      <c r="G82" s="351"/>
      <c r="H82" s="351"/>
      <c r="I82" s="351"/>
      <c r="J82" s="351"/>
      <c r="K82" s="351"/>
      <c r="L82" s="352"/>
      <c r="M82" s="70"/>
      <c r="N82" s="70"/>
      <c r="O82" s="70"/>
    </row>
    <row r="83" spans="1:15" s="73" customFormat="1" ht="14.45" customHeight="1" x14ac:dyDescent="0.2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1:15" ht="15.75" x14ac:dyDescent="0.25">
      <c r="D84" s="101"/>
      <c r="E84" s="101"/>
      <c r="F84" s="101"/>
      <c r="G84" s="101"/>
      <c r="H84" s="101"/>
      <c r="I84" s="81"/>
      <c r="J84" s="346" t="s">
        <v>12</v>
      </c>
      <c r="K84" s="346"/>
      <c r="L84" s="346"/>
      <c r="M84" s="83"/>
    </row>
    <row r="85" spans="1:15" ht="125.25" customHeight="1" x14ac:dyDescent="0.25">
      <c r="A85" s="84" t="s">
        <v>18</v>
      </c>
      <c r="B85" s="84" t="s">
        <v>14</v>
      </c>
      <c r="C85" s="85" t="s">
        <v>1</v>
      </c>
      <c r="D85" s="291" t="s">
        <v>140</v>
      </c>
      <c r="E85" s="291" t="s">
        <v>135</v>
      </c>
      <c r="F85" s="291" t="s">
        <v>136</v>
      </c>
      <c r="G85" s="291" t="s">
        <v>137</v>
      </c>
      <c r="H85" s="291" t="s">
        <v>63</v>
      </c>
      <c r="I85" s="294" t="s">
        <v>141</v>
      </c>
      <c r="J85" s="293" t="s">
        <v>138</v>
      </c>
      <c r="K85" s="293" t="s">
        <v>22</v>
      </c>
      <c r="L85" s="291" t="s">
        <v>142</v>
      </c>
      <c r="M85" s="59"/>
    </row>
    <row r="86" spans="1:15" x14ac:dyDescent="0.25">
      <c r="A86" s="102"/>
      <c r="B86" s="103"/>
      <c r="C86" s="104" t="str">
        <f>"Col "&amp;COLUMN(C86)+36</f>
        <v>Col 39</v>
      </c>
      <c r="D86" s="104" t="str">
        <f t="shared" ref="D86:L86" si="51">"Col "&amp;COLUMN(D86)+36</f>
        <v>Col 40</v>
      </c>
      <c r="E86" s="104" t="str">
        <f t="shared" si="51"/>
        <v>Col 41</v>
      </c>
      <c r="F86" s="104" t="str">
        <f t="shared" si="51"/>
        <v>Col 42</v>
      </c>
      <c r="G86" s="104" t="str">
        <f t="shared" si="51"/>
        <v>Col 43</v>
      </c>
      <c r="H86" s="104" t="str">
        <f t="shared" si="51"/>
        <v>Col 44</v>
      </c>
      <c r="I86" s="104" t="str">
        <f t="shared" si="51"/>
        <v>Col 45</v>
      </c>
      <c r="J86" s="104" t="str">
        <f t="shared" si="51"/>
        <v>Col 46</v>
      </c>
      <c r="K86" s="104" t="str">
        <f t="shared" si="51"/>
        <v>Col 47</v>
      </c>
      <c r="L86" s="104" t="str">
        <f t="shared" si="51"/>
        <v>Col 48</v>
      </c>
      <c r="M86" s="59"/>
    </row>
    <row r="87" spans="1:15" ht="154.5" customHeight="1" x14ac:dyDescent="0.25">
      <c r="A87" s="84" t="s">
        <v>2</v>
      </c>
      <c r="B87" s="84" t="s">
        <v>2</v>
      </c>
      <c r="C87" s="105" t="s">
        <v>2</v>
      </c>
      <c r="D87" s="86" t="s">
        <v>2</v>
      </c>
      <c r="E87" s="299" t="str">
        <f>D86&amp;" X Category Relationship Unfreeze Factor X Net Contributor or Net Recipient Factor"</f>
        <v>Col 40 X Category Relationship Unfreeze Factor X Net Contributor or Net Recipient Factor</v>
      </c>
      <c r="F87" s="86" t="s">
        <v>2</v>
      </c>
      <c r="G87" s="86" t="str">
        <f>"("&amp;F86&amp;" / "&amp;E86&amp;") - 1"</f>
        <v>(Col 42 / Col 41) - 1</v>
      </c>
      <c r="H87" s="86" t="str">
        <f>"("&amp;F86&amp;" / "&amp;D86&amp;") - 1"</f>
        <v>(Col 42 / Col 40) - 1</v>
      </c>
      <c r="I87" s="86" t="s">
        <v>2</v>
      </c>
      <c r="J87" s="106" t="str">
        <f>E86&amp;" X "&amp;I86</f>
        <v>Col 41 X Col 45</v>
      </c>
      <c r="K87" s="106" t="str">
        <f>F86&amp;" X "&amp;I86</f>
        <v>Col 42 X Col 45</v>
      </c>
      <c r="L87" s="107" t="str">
        <f>K86&amp;" - "&amp;J86</f>
        <v>Col 47 - Col 46</v>
      </c>
      <c r="M87" s="57"/>
    </row>
    <row r="88" spans="1:15" s="207" customFormat="1" ht="34.5" customHeight="1" x14ac:dyDescent="0.25">
      <c r="A88" s="194"/>
      <c r="B88" s="195" t="s">
        <v>33</v>
      </c>
      <c r="C88" s="195" t="s">
        <v>27</v>
      </c>
      <c r="D88" s="203"/>
      <c r="E88" s="203"/>
      <c r="F88" s="203"/>
      <c r="G88" s="203"/>
      <c r="H88" s="203"/>
      <c r="I88" s="204"/>
      <c r="J88" s="205"/>
      <c r="K88" s="205"/>
      <c r="L88" s="205"/>
      <c r="M88" s="206"/>
    </row>
    <row r="89" spans="1:15" s="73" customFormat="1" x14ac:dyDescent="0.25">
      <c r="A89" s="93" t="s">
        <v>171</v>
      </c>
      <c r="B89" s="93" t="s">
        <v>182</v>
      </c>
      <c r="C89" s="95" t="s">
        <v>27</v>
      </c>
      <c r="D89" s="190">
        <v>100</v>
      </c>
      <c r="E89" s="96">
        <f t="shared" ref="E89:E93" si="52">ROUND(D89*$B$8*$B$9,2)</f>
        <v>100</v>
      </c>
      <c r="F89" s="190">
        <v>100</v>
      </c>
      <c r="G89" s="97">
        <f>IFERROR(ROUND((F89/E89)-1,3),0)</f>
        <v>0</v>
      </c>
      <c r="H89" s="97">
        <f>IFERROR(ROUND((F89/D89)-1,3),0)</f>
        <v>0</v>
      </c>
      <c r="I89" s="200">
        <v>100</v>
      </c>
      <c r="J89" s="108">
        <f>ROUND(E89*$I89,2)</f>
        <v>10000</v>
      </c>
      <c r="K89" s="108">
        <f>ROUND(F89*$I89,2)</f>
        <v>10000</v>
      </c>
      <c r="L89" s="108">
        <f>ROUND(K89-J89,2)</f>
        <v>0</v>
      </c>
    </row>
    <row r="90" spans="1:15" s="73" customFormat="1" x14ac:dyDescent="0.25">
      <c r="A90" s="93"/>
      <c r="B90" s="93"/>
      <c r="C90" s="95"/>
      <c r="D90" s="190"/>
      <c r="E90" s="96">
        <f t="shared" si="52"/>
        <v>0</v>
      </c>
      <c r="F90" s="190"/>
      <c r="G90" s="97">
        <f>IFERROR(ROUND((F90/E90)-1,3),0)</f>
        <v>0</v>
      </c>
      <c r="H90" s="97">
        <f>IFERROR(ROUND((F90/D90)-1,3),0)</f>
        <v>0</v>
      </c>
      <c r="I90" s="200"/>
      <c r="J90" s="108">
        <f>ROUND(E90*$I90,2)</f>
        <v>0</v>
      </c>
      <c r="K90" s="108">
        <f>ROUND(F90*$I90,2)</f>
        <v>0</v>
      </c>
      <c r="L90" s="108">
        <f>ROUND(K90-J90,2)</f>
        <v>0</v>
      </c>
    </row>
    <row r="91" spans="1:15" x14ac:dyDescent="0.25">
      <c r="A91" s="93"/>
      <c r="B91" s="93"/>
      <c r="C91" s="95"/>
      <c r="D91" s="190"/>
      <c r="E91" s="96">
        <f t="shared" si="52"/>
        <v>0</v>
      </c>
      <c r="F91" s="190"/>
      <c r="G91" s="97">
        <f t="shared" ref="G91:G93" si="53">IFERROR(ROUND((F91/E91)-1,3),0)</f>
        <v>0</v>
      </c>
      <c r="H91" s="97">
        <f t="shared" ref="H91:H93" si="54">IFERROR(ROUND((F91/D91)-1,3),0)</f>
        <v>0</v>
      </c>
      <c r="I91" s="200"/>
      <c r="J91" s="108">
        <f t="shared" ref="J91:K93" si="55">ROUND(E91*$I91,2)</f>
        <v>0</v>
      </c>
      <c r="K91" s="108">
        <f t="shared" si="55"/>
        <v>0</v>
      </c>
      <c r="L91" s="108">
        <f t="shared" ref="L91:L93" si="56">ROUND(K91-J91,2)</f>
        <v>0</v>
      </c>
      <c r="M91" s="99"/>
    </row>
    <row r="92" spans="1:15" x14ac:dyDescent="0.25">
      <c r="A92" s="93"/>
      <c r="B92" s="93"/>
      <c r="C92" s="95"/>
      <c r="D92" s="190"/>
      <c r="E92" s="96">
        <f t="shared" si="52"/>
        <v>0</v>
      </c>
      <c r="F92" s="190"/>
      <c r="G92" s="97">
        <f t="shared" si="53"/>
        <v>0</v>
      </c>
      <c r="H92" s="97">
        <f t="shared" si="54"/>
        <v>0</v>
      </c>
      <c r="I92" s="200"/>
      <c r="J92" s="108">
        <f t="shared" si="55"/>
        <v>0</v>
      </c>
      <c r="K92" s="108">
        <f t="shared" si="55"/>
        <v>0</v>
      </c>
      <c r="L92" s="108">
        <f t="shared" si="56"/>
        <v>0</v>
      </c>
      <c r="M92" s="99"/>
    </row>
    <row r="93" spans="1:15" x14ac:dyDescent="0.25">
      <c r="A93" s="93"/>
      <c r="B93" s="93"/>
      <c r="C93" s="95"/>
      <c r="D93" s="190"/>
      <c r="E93" s="96">
        <f t="shared" si="52"/>
        <v>0</v>
      </c>
      <c r="F93" s="190"/>
      <c r="G93" s="97">
        <f t="shared" si="53"/>
        <v>0</v>
      </c>
      <c r="H93" s="97">
        <f t="shared" si="54"/>
        <v>0</v>
      </c>
      <c r="I93" s="200"/>
      <c r="J93" s="108">
        <f t="shared" si="55"/>
        <v>0</v>
      </c>
      <c r="K93" s="108">
        <f t="shared" si="55"/>
        <v>0</v>
      </c>
      <c r="L93" s="108">
        <f t="shared" si="56"/>
        <v>0</v>
      </c>
      <c r="M93" s="99"/>
    </row>
    <row r="94" spans="1:15" s="207" customFormat="1" ht="32.25" customHeight="1" x14ac:dyDescent="0.25">
      <c r="A94" s="194"/>
      <c r="B94" s="195" t="s">
        <v>32</v>
      </c>
      <c r="C94" s="195" t="s">
        <v>28</v>
      </c>
      <c r="D94" s="208"/>
      <c r="E94" s="208"/>
      <c r="F94" s="208"/>
      <c r="G94" s="208"/>
      <c r="H94" s="208"/>
      <c r="I94" s="209"/>
      <c r="J94" s="210"/>
      <c r="K94" s="210"/>
      <c r="L94" s="211"/>
    </row>
    <row r="95" spans="1:15" x14ac:dyDescent="0.25">
      <c r="A95" s="93" t="s">
        <v>171</v>
      </c>
      <c r="B95" s="94" t="s">
        <v>173</v>
      </c>
      <c r="C95" s="95" t="s">
        <v>28</v>
      </c>
      <c r="D95" s="96">
        <v>100</v>
      </c>
      <c r="E95" s="96">
        <f t="shared" ref="E95:E99" si="57">ROUND(D95*$B$8*$B$9,2)</f>
        <v>100</v>
      </c>
      <c r="F95" s="96">
        <v>100</v>
      </c>
      <c r="G95" s="97">
        <f>IFERROR(ROUND((F95/E95)-1,3),0)</f>
        <v>0</v>
      </c>
      <c r="H95" s="97">
        <f>IFERROR(ROUND((F95/D95)-1,3),0)</f>
        <v>0</v>
      </c>
      <c r="I95" s="200">
        <v>100</v>
      </c>
      <c r="J95" s="108">
        <f>ROUND(E95*$I95,2)</f>
        <v>10000</v>
      </c>
      <c r="K95" s="108">
        <f>ROUND(F95*$I95,2)</f>
        <v>10000</v>
      </c>
      <c r="L95" s="108">
        <f>ROUND(K95-J95,2)</f>
        <v>0</v>
      </c>
    </row>
    <row r="96" spans="1:15" s="73" customFormat="1" x14ac:dyDescent="0.25">
      <c r="A96" s="93"/>
      <c r="B96" s="93"/>
      <c r="C96" s="95"/>
      <c r="D96" s="190"/>
      <c r="E96" s="96">
        <f t="shared" si="57"/>
        <v>0</v>
      </c>
      <c r="F96" s="190"/>
      <c r="G96" s="97">
        <f>IFERROR(ROUND((F96/E96)-1,3),0)</f>
        <v>0</v>
      </c>
      <c r="H96" s="97">
        <f>IFERROR(ROUND((F96/D96)-1,3),0)</f>
        <v>0</v>
      </c>
      <c r="I96" s="200"/>
      <c r="J96" s="108">
        <f>ROUND(E96*$I96,2)</f>
        <v>0</v>
      </c>
      <c r="K96" s="108">
        <f>ROUND(F96*$I96,2)</f>
        <v>0</v>
      </c>
      <c r="L96" s="108">
        <f>ROUND(K96-J96,2)</f>
        <v>0</v>
      </c>
    </row>
    <row r="97" spans="1:13" x14ac:dyDescent="0.25">
      <c r="A97" s="93"/>
      <c r="B97" s="93"/>
      <c r="C97" s="95"/>
      <c r="D97" s="190"/>
      <c r="E97" s="96">
        <f t="shared" si="57"/>
        <v>0</v>
      </c>
      <c r="F97" s="190"/>
      <c r="G97" s="97">
        <f t="shared" ref="G97:G99" si="58">IFERROR(ROUND((F97/E97)-1,3),0)</f>
        <v>0</v>
      </c>
      <c r="H97" s="97">
        <f t="shared" ref="H97:H99" si="59">IFERROR(ROUND((F97/D97)-1,3),0)</f>
        <v>0</v>
      </c>
      <c r="I97" s="200"/>
      <c r="J97" s="108">
        <f t="shared" ref="J97:K99" si="60">ROUND(E97*$I97,2)</f>
        <v>0</v>
      </c>
      <c r="K97" s="108">
        <f t="shared" si="60"/>
        <v>0</v>
      </c>
      <c r="L97" s="108">
        <f t="shared" ref="L97:L99" si="61">ROUND(K97-J97,2)</f>
        <v>0</v>
      </c>
      <c r="M97" s="99"/>
    </row>
    <row r="98" spans="1:13" x14ac:dyDescent="0.25">
      <c r="A98" s="93"/>
      <c r="B98" s="93"/>
      <c r="C98" s="95"/>
      <c r="D98" s="190"/>
      <c r="E98" s="96">
        <f t="shared" si="57"/>
        <v>0</v>
      </c>
      <c r="F98" s="190"/>
      <c r="G98" s="97">
        <f t="shared" si="58"/>
        <v>0</v>
      </c>
      <c r="H98" s="97">
        <f t="shared" si="59"/>
        <v>0</v>
      </c>
      <c r="I98" s="200"/>
      <c r="J98" s="108">
        <f t="shared" si="60"/>
        <v>0</v>
      </c>
      <c r="K98" s="108">
        <f t="shared" si="60"/>
        <v>0</v>
      </c>
      <c r="L98" s="108">
        <f t="shared" si="61"/>
        <v>0</v>
      </c>
      <c r="M98" s="99"/>
    </row>
    <row r="99" spans="1:13" x14ac:dyDescent="0.25">
      <c r="A99" s="93"/>
      <c r="B99" s="93"/>
      <c r="C99" s="95"/>
      <c r="D99" s="190"/>
      <c r="E99" s="96">
        <f t="shared" si="57"/>
        <v>0</v>
      </c>
      <c r="F99" s="190"/>
      <c r="G99" s="97">
        <f t="shared" si="58"/>
        <v>0</v>
      </c>
      <c r="H99" s="97">
        <f t="shared" si="59"/>
        <v>0</v>
      </c>
      <c r="I99" s="200"/>
      <c r="J99" s="108">
        <f t="shared" si="60"/>
        <v>0</v>
      </c>
      <c r="K99" s="108">
        <f t="shared" si="60"/>
        <v>0</v>
      </c>
      <c r="L99" s="108">
        <f t="shared" si="61"/>
        <v>0</v>
      </c>
      <c r="M99" s="99"/>
    </row>
    <row r="100" spans="1:13" s="207" customFormat="1" ht="39" customHeight="1" x14ac:dyDescent="0.25">
      <c r="A100" s="194"/>
      <c r="B100" s="195" t="s">
        <v>31</v>
      </c>
      <c r="C100" s="195" t="s">
        <v>29</v>
      </c>
      <c r="D100" s="208"/>
      <c r="E100" s="208"/>
      <c r="F100" s="208"/>
      <c r="G100" s="208"/>
      <c r="H100" s="208"/>
      <c r="I100" s="209"/>
      <c r="J100" s="210"/>
      <c r="K100" s="210"/>
      <c r="L100" s="211"/>
    </row>
    <row r="101" spans="1:13" x14ac:dyDescent="0.25">
      <c r="A101" s="93" t="s">
        <v>171</v>
      </c>
      <c r="B101" s="93" t="s">
        <v>174</v>
      </c>
      <c r="C101" s="95" t="s">
        <v>29</v>
      </c>
      <c r="D101" s="190">
        <v>100</v>
      </c>
      <c r="E101" s="96">
        <f t="shared" ref="E101:E105" si="62">ROUND(D101*$B$8*$B$9,2)</f>
        <v>100</v>
      </c>
      <c r="F101" s="190">
        <v>100</v>
      </c>
      <c r="G101" s="97">
        <f t="shared" ref="G101" si="63">IFERROR(ROUND((F101/E101)-1,3),0)</f>
        <v>0</v>
      </c>
      <c r="H101" s="97">
        <f t="shared" ref="H101" si="64">IFERROR(ROUND((F101/D101)-1,3),0)</f>
        <v>0</v>
      </c>
      <c r="I101" s="200">
        <v>100</v>
      </c>
      <c r="J101" s="108">
        <f t="shared" ref="J101:K101" si="65">ROUND(E101*$I101,2)</f>
        <v>10000</v>
      </c>
      <c r="K101" s="108">
        <f t="shared" si="65"/>
        <v>10000</v>
      </c>
      <c r="L101" s="108">
        <f t="shared" ref="L101" si="66">ROUND(K101-J101,2)</f>
        <v>0</v>
      </c>
    </row>
    <row r="102" spans="1:13" s="73" customFormat="1" x14ac:dyDescent="0.25">
      <c r="A102" s="93"/>
      <c r="B102" s="93"/>
      <c r="C102" s="95"/>
      <c r="D102" s="190"/>
      <c r="E102" s="96">
        <f t="shared" si="62"/>
        <v>0</v>
      </c>
      <c r="F102" s="190"/>
      <c r="G102" s="97">
        <f>IFERROR(ROUND((F102/E102)-1,3),0)</f>
        <v>0</v>
      </c>
      <c r="H102" s="97">
        <f>IFERROR(ROUND((F102/D102)-1,3),0)</f>
        <v>0</v>
      </c>
      <c r="I102" s="200"/>
      <c r="J102" s="108">
        <f>ROUND(E102*$I102,2)</f>
        <v>0</v>
      </c>
      <c r="K102" s="108">
        <f>ROUND(F102*$I102,2)</f>
        <v>0</v>
      </c>
      <c r="L102" s="108">
        <f>ROUND(K102-J102,2)</f>
        <v>0</v>
      </c>
    </row>
    <row r="103" spans="1:13" x14ac:dyDescent="0.25">
      <c r="A103" s="93"/>
      <c r="B103" s="93"/>
      <c r="C103" s="95"/>
      <c r="D103" s="190"/>
      <c r="E103" s="96">
        <f t="shared" si="62"/>
        <v>0</v>
      </c>
      <c r="F103" s="190"/>
      <c r="G103" s="97">
        <f t="shared" ref="G103:G105" si="67">IFERROR(ROUND((F103/E103)-1,3),0)</f>
        <v>0</v>
      </c>
      <c r="H103" s="97">
        <f t="shared" ref="H103:H105" si="68">IFERROR(ROUND((F103/D103)-1,3),0)</f>
        <v>0</v>
      </c>
      <c r="I103" s="200"/>
      <c r="J103" s="108">
        <f t="shared" ref="J103:K105" si="69">ROUND(E103*$I103,2)</f>
        <v>0</v>
      </c>
      <c r="K103" s="108">
        <f t="shared" si="69"/>
        <v>0</v>
      </c>
      <c r="L103" s="108">
        <f t="shared" ref="L103:L105" si="70">ROUND(K103-J103,2)</f>
        <v>0</v>
      </c>
      <c r="M103" s="99"/>
    </row>
    <row r="104" spans="1:13" x14ac:dyDescent="0.25">
      <c r="A104" s="93"/>
      <c r="B104" s="93"/>
      <c r="C104" s="95"/>
      <c r="D104" s="190"/>
      <c r="E104" s="96">
        <f t="shared" si="62"/>
        <v>0</v>
      </c>
      <c r="F104" s="190"/>
      <c r="G104" s="97">
        <f t="shared" si="67"/>
        <v>0</v>
      </c>
      <c r="H104" s="97">
        <f t="shared" si="68"/>
        <v>0</v>
      </c>
      <c r="I104" s="200"/>
      <c r="J104" s="108">
        <f t="shared" si="69"/>
        <v>0</v>
      </c>
      <c r="K104" s="108">
        <f t="shared" si="69"/>
        <v>0</v>
      </c>
      <c r="L104" s="108">
        <f t="shared" si="70"/>
        <v>0</v>
      </c>
      <c r="M104" s="99"/>
    </row>
    <row r="105" spans="1:13" x14ac:dyDescent="0.25">
      <c r="A105" s="93"/>
      <c r="B105" s="93"/>
      <c r="C105" s="95"/>
      <c r="D105" s="190"/>
      <c r="E105" s="96">
        <f t="shared" si="62"/>
        <v>0</v>
      </c>
      <c r="F105" s="190"/>
      <c r="G105" s="97">
        <f t="shared" si="67"/>
        <v>0</v>
      </c>
      <c r="H105" s="97">
        <f t="shared" si="68"/>
        <v>0</v>
      </c>
      <c r="I105" s="200"/>
      <c r="J105" s="108">
        <f t="shared" si="69"/>
        <v>0</v>
      </c>
      <c r="K105" s="108">
        <f t="shared" si="69"/>
        <v>0</v>
      </c>
      <c r="L105" s="108">
        <f t="shared" si="70"/>
        <v>0</v>
      </c>
      <c r="M105" s="99"/>
    </row>
    <row r="106" spans="1:13" s="207" customFormat="1" ht="36.75" customHeight="1" x14ac:dyDescent="0.25">
      <c r="A106" s="194"/>
      <c r="B106" s="195" t="s">
        <v>30</v>
      </c>
      <c r="C106" s="195" t="s">
        <v>45</v>
      </c>
      <c r="D106" s="208"/>
      <c r="E106" s="208"/>
      <c r="F106" s="208"/>
      <c r="G106" s="208"/>
      <c r="H106" s="208"/>
      <c r="I106" s="209"/>
      <c r="J106" s="210"/>
      <c r="K106" s="210"/>
      <c r="L106" s="211"/>
    </row>
    <row r="107" spans="1:13" x14ac:dyDescent="0.25">
      <c r="A107" s="93" t="s">
        <v>171</v>
      </c>
      <c r="B107" s="93" t="s">
        <v>175</v>
      </c>
      <c r="C107" s="95" t="s">
        <v>45</v>
      </c>
      <c r="D107" s="190">
        <v>100</v>
      </c>
      <c r="E107" s="96">
        <f t="shared" ref="E107:E111" si="71">ROUND(D107*$B$8*$B$9,2)</f>
        <v>100</v>
      </c>
      <c r="F107" s="190">
        <v>100</v>
      </c>
      <c r="G107" s="97">
        <f t="shared" ref="G107" si="72">IFERROR(ROUND((F107/E107)-1,3),0)</f>
        <v>0</v>
      </c>
      <c r="H107" s="97">
        <f t="shared" ref="H107" si="73">IFERROR(ROUND((F107/D107)-1,3),0)</f>
        <v>0</v>
      </c>
      <c r="I107" s="200">
        <v>100</v>
      </c>
      <c r="J107" s="108">
        <f t="shared" ref="J107:K107" si="74">ROUND(E107*$I107,2)</f>
        <v>10000</v>
      </c>
      <c r="K107" s="108">
        <f t="shared" si="74"/>
        <v>10000</v>
      </c>
      <c r="L107" s="108">
        <f t="shared" ref="L107" si="75">ROUND(K107-J107,2)</f>
        <v>0</v>
      </c>
    </row>
    <row r="108" spans="1:13" s="73" customFormat="1" x14ac:dyDescent="0.25">
      <c r="A108" s="93"/>
      <c r="B108" s="93"/>
      <c r="C108" s="95"/>
      <c r="D108" s="190"/>
      <c r="E108" s="96">
        <f t="shared" si="71"/>
        <v>0</v>
      </c>
      <c r="F108" s="190"/>
      <c r="G108" s="97">
        <f>IFERROR(ROUND((F108/E108)-1,3),0)</f>
        <v>0</v>
      </c>
      <c r="H108" s="97">
        <f>IFERROR(ROUND((F108/D108)-1,3),0)</f>
        <v>0</v>
      </c>
      <c r="I108" s="200"/>
      <c r="J108" s="108">
        <f>ROUND(E108*$I108,2)</f>
        <v>0</v>
      </c>
      <c r="K108" s="108">
        <f>ROUND(F108*$I108,2)</f>
        <v>0</v>
      </c>
      <c r="L108" s="108">
        <f>ROUND(K108-J108,2)</f>
        <v>0</v>
      </c>
    </row>
    <row r="109" spans="1:13" x14ac:dyDescent="0.25">
      <c r="A109" s="93"/>
      <c r="B109" s="93"/>
      <c r="C109" s="95"/>
      <c r="D109" s="190"/>
      <c r="E109" s="96">
        <f t="shared" si="71"/>
        <v>0</v>
      </c>
      <c r="F109" s="190"/>
      <c r="G109" s="97">
        <f t="shared" ref="G109:G111" si="76">IFERROR(ROUND((F109/E109)-1,3),0)</f>
        <v>0</v>
      </c>
      <c r="H109" s="97">
        <f t="shared" ref="H109:H111" si="77">IFERROR(ROUND((F109/D109)-1,3),0)</f>
        <v>0</v>
      </c>
      <c r="I109" s="200"/>
      <c r="J109" s="108">
        <f t="shared" ref="J109:K111" si="78">ROUND(E109*$I109,2)</f>
        <v>0</v>
      </c>
      <c r="K109" s="108">
        <f t="shared" si="78"/>
        <v>0</v>
      </c>
      <c r="L109" s="108">
        <f t="shared" ref="L109:L111" si="79">ROUND(K109-J109,2)</f>
        <v>0</v>
      </c>
      <c r="M109" s="99"/>
    </row>
    <row r="110" spans="1:13" x14ac:dyDescent="0.25">
      <c r="A110" s="93"/>
      <c r="B110" s="93"/>
      <c r="C110" s="95"/>
      <c r="D110" s="190"/>
      <c r="E110" s="96">
        <f t="shared" si="71"/>
        <v>0</v>
      </c>
      <c r="F110" s="190"/>
      <c r="G110" s="97">
        <f t="shared" si="76"/>
        <v>0</v>
      </c>
      <c r="H110" s="97">
        <f t="shared" si="77"/>
        <v>0</v>
      </c>
      <c r="I110" s="200"/>
      <c r="J110" s="108">
        <f t="shared" si="78"/>
        <v>0</v>
      </c>
      <c r="K110" s="108">
        <f t="shared" si="78"/>
        <v>0</v>
      </c>
      <c r="L110" s="108">
        <f t="shared" si="79"/>
        <v>0</v>
      </c>
      <c r="M110" s="99"/>
    </row>
    <row r="111" spans="1:13" x14ac:dyDescent="0.25">
      <c r="A111" s="93"/>
      <c r="B111" s="93"/>
      <c r="C111" s="95"/>
      <c r="D111" s="190"/>
      <c r="E111" s="96">
        <f t="shared" si="71"/>
        <v>0</v>
      </c>
      <c r="F111" s="190"/>
      <c r="G111" s="97">
        <f t="shared" si="76"/>
        <v>0</v>
      </c>
      <c r="H111" s="97">
        <f t="shared" si="77"/>
        <v>0</v>
      </c>
      <c r="I111" s="200"/>
      <c r="J111" s="108">
        <f t="shared" si="78"/>
        <v>0</v>
      </c>
      <c r="K111" s="108">
        <f t="shared" si="78"/>
        <v>0</v>
      </c>
      <c r="L111" s="108">
        <f t="shared" si="79"/>
        <v>0</v>
      </c>
      <c r="M111" s="99"/>
    </row>
    <row r="112" spans="1:13" s="207" customFormat="1" x14ac:dyDescent="0.25">
      <c r="A112" s="194"/>
      <c r="B112" s="195" t="s">
        <v>34</v>
      </c>
      <c r="C112" s="195" t="s">
        <v>35</v>
      </c>
      <c r="D112" s="208"/>
      <c r="E112" s="208"/>
      <c r="F112" s="208"/>
      <c r="G112" s="208"/>
      <c r="H112" s="208"/>
      <c r="I112" s="209"/>
      <c r="J112" s="210"/>
      <c r="K112" s="210"/>
      <c r="L112" s="211"/>
    </row>
    <row r="113" spans="1:13" x14ac:dyDescent="0.25">
      <c r="A113" s="93" t="s">
        <v>171</v>
      </c>
      <c r="B113" s="93" t="s">
        <v>176</v>
      </c>
      <c r="C113" s="95" t="s">
        <v>35</v>
      </c>
      <c r="D113" s="190">
        <v>100</v>
      </c>
      <c r="E113" s="96">
        <f t="shared" ref="E113:E117" si="80">ROUND(D113*$B$8*$B$9,2)</f>
        <v>100</v>
      </c>
      <c r="F113" s="190">
        <v>100</v>
      </c>
      <c r="G113" s="97">
        <f t="shared" ref="G113" si="81">IFERROR(ROUND((F113/E113)-1,3),0)</f>
        <v>0</v>
      </c>
      <c r="H113" s="97">
        <f t="shared" ref="H113" si="82">IFERROR(ROUND((F113/D113)-1,3),0)</f>
        <v>0</v>
      </c>
      <c r="I113" s="200">
        <v>100</v>
      </c>
      <c r="J113" s="108">
        <f t="shared" ref="J113:K113" si="83">ROUND(E113*$I113,2)</f>
        <v>10000</v>
      </c>
      <c r="K113" s="108">
        <f t="shared" si="83"/>
        <v>10000</v>
      </c>
      <c r="L113" s="108">
        <f t="shared" ref="L113" si="84">ROUND(K113-J113,2)</f>
        <v>0</v>
      </c>
    </row>
    <row r="114" spans="1:13" s="73" customFormat="1" x14ac:dyDescent="0.25">
      <c r="A114" s="93"/>
      <c r="B114" s="93"/>
      <c r="C114" s="95"/>
      <c r="D114" s="190"/>
      <c r="E114" s="96">
        <f t="shared" si="80"/>
        <v>0</v>
      </c>
      <c r="F114" s="190"/>
      <c r="G114" s="97">
        <f>IFERROR(ROUND((F114/E114)-1,3),0)</f>
        <v>0</v>
      </c>
      <c r="H114" s="97">
        <f>IFERROR(ROUND((F114/D114)-1,3),0)</f>
        <v>0</v>
      </c>
      <c r="I114" s="200"/>
      <c r="J114" s="108">
        <f>ROUND(E114*$I114,2)</f>
        <v>0</v>
      </c>
      <c r="K114" s="108">
        <f>ROUND(F114*$I114,2)</f>
        <v>0</v>
      </c>
      <c r="L114" s="108">
        <f>ROUND(K114-J114,2)</f>
        <v>0</v>
      </c>
    </row>
    <row r="115" spans="1:13" x14ac:dyDescent="0.25">
      <c r="A115" s="93"/>
      <c r="B115" s="93"/>
      <c r="C115" s="95"/>
      <c r="D115" s="190"/>
      <c r="E115" s="96">
        <f t="shared" si="80"/>
        <v>0</v>
      </c>
      <c r="F115" s="190"/>
      <c r="G115" s="97">
        <f t="shared" ref="G115:G117" si="85">IFERROR(ROUND((F115/E115)-1,3),0)</f>
        <v>0</v>
      </c>
      <c r="H115" s="97">
        <f t="shared" ref="H115:H117" si="86">IFERROR(ROUND((F115/D115)-1,3),0)</f>
        <v>0</v>
      </c>
      <c r="I115" s="200"/>
      <c r="J115" s="108">
        <f t="shared" ref="J115:K117" si="87">ROUND(E115*$I115,2)</f>
        <v>0</v>
      </c>
      <c r="K115" s="108">
        <f t="shared" si="87"/>
        <v>0</v>
      </c>
      <c r="L115" s="108">
        <f t="shared" ref="L115:L117" si="88">ROUND(K115-J115,2)</f>
        <v>0</v>
      </c>
      <c r="M115" s="99"/>
    </row>
    <row r="116" spans="1:13" x14ac:dyDescent="0.25">
      <c r="A116" s="93"/>
      <c r="B116" s="93"/>
      <c r="C116" s="95"/>
      <c r="D116" s="190"/>
      <c r="E116" s="96">
        <f t="shared" si="80"/>
        <v>0</v>
      </c>
      <c r="F116" s="190"/>
      <c r="G116" s="97">
        <f t="shared" si="85"/>
        <v>0</v>
      </c>
      <c r="H116" s="97">
        <f t="shared" si="86"/>
        <v>0</v>
      </c>
      <c r="I116" s="200"/>
      <c r="J116" s="108">
        <f t="shared" si="87"/>
        <v>0</v>
      </c>
      <c r="K116" s="108">
        <f t="shared" si="87"/>
        <v>0</v>
      </c>
      <c r="L116" s="108">
        <f t="shared" si="88"/>
        <v>0</v>
      </c>
      <c r="M116" s="99"/>
    </row>
    <row r="117" spans="1:13" x14ac:dyDescent="0.25">
      <c r="A117" s="93"/>
      <c r="B117" s="93"/>
      <c r="C117" s="95"/>
      <c r="D117" s="190"/>
      <c r="E117" s="96">
        <f t="shared" si="80"/>
        <v>0</v>
      </c>
      <c r="F117" s="190"/>
      <c r="G117" s="97">
        <f t="shared" si="85"/>
        <v>0</v>
      </c>
      <c r="H117" s="97">
        <f t="shared" si="86"/>
        <v>0</v>
      </c>
      <c r="I117" s="200"/>
      <c r="J117" s="108">
        <f t="shared" si="87"/>
        <v>0</v>
      </c>
      <c r="K117" s="108">
        <f t="shared" si="87"/>
        <v>0</v>
      </c>
      <c r="L117" s="108">
        <f t="shared" si="88"/>
        <v>0</v>
      </c>
      <c r="M117" s="99"/>
    </row>
    <row r="118" spans="1:13" s="207" customFormat="1" ht="33" customHeight="1" x14ac:dyDescent="0.25">
      <c r="A118" s="194"/>
      <c r="B118" s="195" t="s">
        <v>36</v>
      </c>
      <c r="C118" s="195" t="s">
        <v>37</v>
      </c>
      <c r="D118" s="208"/>
      <c r="E118" s="208"/>
      <c r="F118" s="208"/>
      <c r="G118" s="208"/>
      <c r="H118" s="208"/>
      <c r="I118" s="209"/>
      <c r="J118" s="210"/>
      <c r="K118" s="210"/>
      <c r="L118" s="211"/>
    </row>
    <row r="119" spans="1:13" x14ac:dyDescent="0.25">
      <c r="A119" s="93" t="s">
        <v>171</v>
      </c>
      <c r="B119" s="93" t="s">
        <v>183</v>
      </c>
      <c r="C119" s="95" t="s">
        <v>37</v>
      </c>
      <c r="D119" s="190">
        <v>100</v>
      </c>
      <c r="E119" s="96">
        <f t="shared" ref="E119:E123" si="89">ROUND(D119*$B$8*$B$9,2)</f>
        <v>100</v>
      </c>
      <c r="F119" s="190">
        <v>100</v>
      </c>
      <c r="G119" s="97">
        <f t="shared" ref="G119" si="90">IFERROR(ROUND((F119/E119)-1,3),0)</f>
        <v>0</v>
      </c>
      <c r="H119" s="97">
        <f t="shared" ref="H119" si="91">IFERROR(ROUND((F119/D119)-1,3),0)</f>
        <v>0</v>
      </c>
      <c r="I119" s="200">
        <v>100</v>
      </c>
      <c r="J119" s="108">
        <f t="shared" ref="J119:K119" si="92">ROUND(E119*$I119,2)</f>
        <v>10000</v>
      </c>
      <c r="K119" s="108">
        <f t="shared" si="92"/>
        <v>10000</v>
      </c>
      <c r="L119" s="108">
        <f t="shared" ref="L119" si="93">ROUND(K119-J119,2)</f>
        <v>0</v>
      </c>
    </row>
    <row r="120" spans="1:13" s="73" customFormat="1" x14ac:dyDescent="0.25">
      <c r="A120" s="93"/>
      <c r="B120" s="93"/>
      <c r="C120" s="95"/>
      <c r="D120" s="190"/>
      <c r="E120" s="96">
        <f t="shared" si="89"/>
        <v>0</v>
      </c>
      <c r="F120" s="190"/>
      <c r="G120" s="97">
        <f>IFERROR(ROUND((F120/E120)-1,3),0)</f>
        <v>0</v>
      </c>
      <c r="H120" s="97">
        <f>IFERROR(ROUND((F120/D120)-1,3),0)</f>
        <v>0</v>
      </c>
      <c r="I120" s="200"/>
      <c r="J120" s="108">
        <f>ROUND(E120*$I120,2)</f>
        <v>0</v>
      </c>
      <c r="K120" s="108">
        <f>ROUND(F120*$I120,2)</f>
        <v>0</v>
      </c>
      <c r="L120" s="108">
        <f>ROUND(K120-J120,2)</f>
        <v>0</v>
      </c>
    </row>
    <row r="121" spans="1:13" x14ac:dyDescent="0.25">
      <c r="A121" s="93"/>
      <c r="B121" s="93"/>
      <c r="C121" s="95"/>
      <c r="D121" s="190"/>
      <c r="E121" s="96">
        <f t="shared" si="89"/>
        <v>0</v>
      </c>
      <c r="F121" s="190"/>
      <c r="G121" s="97">
        <f t="shared" ref="G121:G123" si="94">IFERROR(ROUND((F121/E121)-1,3),0)</f>
        <v>0</v>
      </c>
      <c r="H121" s="97">
        <f t="shared" ref="H121:H123" si="95">IFERROR(ROUND((F121/D121)-1,3),0)</f>
        <v>0</v>
      </c>
      <c r="I121" s="200"/>
      <c r="J121" s="108">
        <f t="shared" ref="J121:K123" si="96">ROUND(E121*$I121,2)</f>
        <v>0</v>
      </c>
      <c r="K121" s="108">
        <f t="shared" si="96"/>
        <v>0</v>
      </c>
      <c r="L121" s="108">
        <f t="shared" ref="L121:L123" si="97">ROUND(K121-J121,2)</f>
        <v>0</v>
      </c>
      <c r="M121" s="99"/>
    </row>
    <row r="122" spans="1:13" x14ac:dyDescent="0.25">
      <c r="A122" s="93"/>
      <c r="B122" s="93"/>
      <c r="C122" s="95"/>
      <c r="D122" s="190"/>
      <c r="E122" s="96">
        <f t="shared" si="89"/>
        <v>0</v>
      </c>
      <c r="F122" s="190"/>
      <c r="G122" s="97">
        <f t="shared" si="94"/>
        <v>0</v>
      </c>
      <c r="H122" s="97">
        <f t="shared" si="95"/>
        <v>0</v>
      </c>
      <c r="I122" s="200"/>
      <c r="J122" s="108">
        <f t="shared" si="96"/>
        <v>0</v>
      </c>
      <c r="K122" s="108">
        <f t="shared" si="96"/>
        <v>0</v>
      </c>
      <c r="L122" s="108">
        <f t="shared" si="97"/>
        <v>0</v>
      </c>
      <c r="M122" s="99"/>
    </row>
    <row r="123" spans="1:13" x14ac:dyDescent="0.25">
      <c r="A123" s="93"/>
      <c r="B123" s="93"/>
      <c r="C123" s="95"/>
      <c r="D123" s="190"/>
      <c r="E123" s="96">
        <f t="shared" si="89"/>
        <v>0</v>
      </c>
      <c r="F123" s="190"/>
      <c r="G123" s="97">
        <f t="shared" si="94"/>
        <v>0</v>
      </c>
      <c r="H123" s="97">
        <f t="shared" si="95"/>
        <v>0</v>
      </c>
      <c r="I123" s="200"/>
      <c r="J123" s="108">
        <f t="shared" si="96"/>
        <v>0</v>
      </c>
      <c r="K123" s="108">
        <f t="shared" si="96"/>
        <v>0</v>
      </c>
      <c r="L123" s="108">
        <f t="shared" si="97"/>
        <v>0</v>
      </c>
      <c r="M123" s="99"/>
    </row>
    <row r="124" spans="1:13" s="207" customFormat="1" ht="30" customHeight="1" x14ac:dyDescent="0.25">
      <c r="A124" s="194"/>
      <c r="B124" s="195" t="s">
        <v>38</v>
      </c>
      <c r="C124" s="195" t="s">
        <v>39</v>
      </c>
      <c r="D124" s="208"/>
      <c r="E124" s="208"/>
      <c r="F124" s="208"/>
      <c r="G124" s="208"/>
      <c r="H124" s="208"/>
      <c r="I124" s="209"/>
      <c r="J124" s="210"/>
      <c r="K124" s="210"/>
      <c r="L124" s="211"/>
    </row>
    <row r="125" spans="1:13" x14ac:dyDescent="0.25">
      <c r="A125" s="93" t="s">
        <v>171</v>
      </c>
      <c r="B125" s="93" t="s">
        <v>184</v>
      </c>
      <c r="C125" s="95" t="s">
        <v>39</v>
      </c>
      <c r="D125" s="190">
        <v>100</v>
      </c>
      <c r="E125" s="96">
        <f t="shared" ref="E125:E129" si="98">ROUND(D125*$B$8*$B$9,2)</f>
        <v>100</v>
      </c>
      <c r="F125" s="190">
        <v>100</v>
      </c>
      <c r="G125" s="97">
        <f t="shared" ref="G125" si="99">IFERROR((F125/E125)-1,0)</f>
        <v>0</v>
      </c>
      <c r="H125" s="97">
        <f t="shared" ref="H125" si="100">IFERROR((F125/D125)-1,0)</f>
        <v>0</v>
      </c>
      <c r="I125" s="200">
        <v>100</v>
      </c>
      <c r="J125" s="108">
        <f t="shared" ref="J125:K125" si="101">ROUND(E125*$I125,2)</f>
        <v>10000</v>
      </c>
      <c r="K125" s="108">
        <f t="shared" si="101"/>
        <v>10000</v>
      </c>
      <c r="L125" s="108">
        <f t="shared" ref="L125" si="102">ROUND(K125-J125,2)</f>
        <v>0</v>
      </c>
    </row>
    <row r="126" spans="1:13" s="73" customFormat="1" x14ac:dyDescent="0.25">
      <c r="A126" s="93"/>
      <c r="B126" s="93"/>
      <c r="C126" s="95"/>
      <c r="D126" s="190"/>
      <c r="E126" s="96">
        <f t="shared" si="98"/>
        <v>0</v>
      </c>
      <c r="F126" s="190"/>
      <c r="G126" s="97">
        <f>IFERROR(ROUND((F126/E126)-1,3),0)</f>
        <v>0</v>
      </c>
      <c r="H126" s="97">
        <f>IFERROR(ROUND((F126/D126)-1,3),0)</f>
        <v>0</v>
      </c>
      <c r="I126" s="200"/>
      <c r="J126" s="108">
        <f>ROUND(E126*$I126,2)</f>
        <v>0</v>
      </c>
      <c r="K126" s="108">
        <f>ROUND(F126*$I126,2)</f>
        <v>0</v>
      </c>
      <c r="L126" s="108">
        <f>ROUND(K126-J126,2)</f>
        <v>0</v>
      </c>
    </row>
    <row r="127" spans="1:13" x14ac:dyDescent="0.25">
      <c r="A127" s="93"/>
      <c r="B127" s="93"/>
      <c r="C127" s="95"/>
      <c r="D127" s="190"/>
      <c r="E127" s="96">
        <f t="shared" si="98"/>
        <v>0</v>
      </c>
      <c r="F127" s="190"/>
      <c r="G127" s="97">
        <f t="shared" ref="G127:G129" si="103">IFERROR(ROUND((F127/E127)-1,3),0)</f>
        <v>0</v>
      </c>
      <c r="H127" s="97">
        <f t="shared" ref="H127:H129" si="104">IFERROR(ROUND((F127/D127)-1,3),0)</f>
        <v>0</v>
      </c>
      <c r="I127" s="200"/>
      <c r="J127" s="108">
        <f t="shared" ref="J127:K129" si="105">ROUND(E127*$I127,2)</f>
        <v>0</v>
      </c>
      <c r="K127" s="108">
        <f t="shared" si="105"/>
        <v>0</v>
      </c>
      <c r="L127" s="108">
        <f t="shared" ref="L127:L129" si="106">ROUND(K127-J127,2)</f>
        <v>0</v>
      </c>
      <c r="M127" s="99"/>
    </row>
    <row r="128" spans="1:13" x14ac:dyDescent="0.25">
      <c r="A128" s="93"/>
      <c r="B128" s="93"/>
      <c r="C128" s="95"/>
      <c r="D128" s="190"/>
      <c r="E128" s="96">
        <f t="shared" si="98"/>
        <v>0</v>
      </c>
      <c r="F128" s="190"/>
      <c r="G128" s="97">
        <f t="shared" si="103"/>
        <v>0</v>
      </c>
      <c r="H128" s="97">
        <f t="shared" si="104"/>
        <v>0</v>
      </c>
      <c r="I128" s="200"/>
      <c r="J128" s="108">
        <f t="shared" si="105"/>
        <v>0</v>
      </c>
      <c r="K128" s="108">
        <f t="shared" si="105"/>
        <v>0</v>
      </c>
      <c r="L128" s="108">
        <f t="shared" si="106"/>
        <v>0</v>
      </c>
      <c r="M128" s="99"/>
    </row>
    <row r="129" spans="1:13" x14ac:dyDescent="0.25">
      <c r="A129" s="93"/>
      <c r="B129" s="93"/>
      <c r="C129" s="95"/>
      <c r="D129" s="190"/>
      <c r="E129" s="96">
        <f t="shared" si="98"/>
        <v>0</v>
      </c>
      <c r="F129" s="190"/>
      <c r="G129" s="97">
        <f t="shared" si="103"/>
        <v>0</v>
      </c>
      <c r="H129" s="97">
        <f t="shared" si="104"/>
        <v>0</v>
      </c>
      <c r="I129" s="200"/>
      <c r="J129" s="108">
        <f t="shared" si="105"/>
        <v>0</v>
      </c>
      <c r="K129" s="108">
        <f t="shared" si="105"/>
        <v>0</v>
      </c>
      <c r="L129" s="108">
        <f t="shared" si="106"/>
        <v>0</v>
      </c>
      <c r="M129" s="99"/>
    </row>
    <row r="130" spans="1:13" s="207" customFormat="1" x14ac:dyDescent="0.25">
      <c r="A130" s="194"/>
      <c r="B130" s="195" t="s">
        <v>41</v>
      </c>
      <c r="C130" s="195" t="s">
        <v>42</v>
      </c>
      <c r="D130" s="208"/>
      <c r="E130" s="208"/>
      <c r="F130" s="208"/>
      <c r="G130" s="208"/>
      <c r="H130" s="208"/>
      <c r="I130" s="209"/>
      <c r="J130" s="210"/>
      <c r="K130" s="210"/>
      <c r="L130" s="211"/>
    </row>
    <row r="131" spans="1:13" x14ac:dyDescent="0.25">
      <c r="A131" s="93" t="s">
        <v>171</v>
      </c>
      <c r="B131" s="93" t="s">
        <v>179</v>
      </c>
      <c r="C131" s="95" t="s">
        <v>42</v>
      </c>
      <c r="D131" s="190">
        <v>100</v>
      </c>
      <c r="E131" s="96">
        <f t="shared" ref="E131:E135" si="107">ROUND(D131*$B$8*$B$9,2)</f>
        <v>100</v>
      </c>
      <c r="F131" s="190">
        <v>100</v>
      </c>
      <c r="G131" s="97">
        <f t="shared" ref="G131" si="108">IFERROR((F131/E131)-1,0)</f>
        <v>0</v>
      </c>
      <c r="H131" s="97">
        <f t="shared" ref="H131" si="109">IFERROR((F131/D131)-1,0)</f>
        <v>0</v>
      </c>
      <c r="I131" s="200">
        <v>100</v>
      </c>
      <c r="J131" s="108">
        <f t="shared" ref="J131:K131" si="110">ROUND(E131*$I131,2)</f>
        <v>10000</v>
      </c>
      <c r="K131" s="108">
        <f t="shared" si="110"/>
        <v>10000</v>
      </c>
      <c r="L131" s="108">
        <f t="shared" ref="L131" si="111">ROUND(K131-J131,2)</f>
        <v>0</v>
      </c>
    </row>
    <row r="132" spans="1:13" s="73" customFormat="1" x14ac:dyDescent="0.25">
      <c r="A132" s="93"/>
      <c r="B132" s="93"/>
      <c r="C132" s="95"/>
      <c r="D132" s="190"/>
      <c r="E132" s="96">
        <f t="shared" si="107"/>
        <v>0</v>
      </c>
      <c r="F132" s="190"/>
      <c r="G132" s="97">
        <f>IFERROR(ROUND((F132/E132)-1,3),0)</f>
        <v>0</v>
      </c>
      <c r="H132" s="97">
        <f>IFERROR(ROUND((F132/D132)-1,3),0)</f>
        <v>0</v>
      </c>
      <c r="I132" s="200"/>
      <c r="J132" s="108">
        <f>ROUND(E132*$I132,2)</f>
        <v>0</v>
      </c>
      <c r="K132" s="108">
        <f>ROUND(F132*$I132,2)</f>
        <v>0</v>
      </c>
      <c r="L132" s="108">
        <f>ROUND(K132-J132,2)</f>
        <v>0</v>
      </c>
    </row>
    <row r="133" spans="1:13" x14ac:dyDescent="0.25">
      <c r="A133" s="93"/>
      <c r="B133" s="93"/>
      <c r="C133" s="95"/>
      <c r="D133" s="190"/>
      <c r="E133" s="96">
        <f t="shared" si="107"/>
        <v>0</v>
      </c>
      <c r="F133" s="190"/>
      <c r="G133" s="97">
        <f t="shared" ref="G133:G135" si="112">IFERROR(ROUND((F133/E133)-1,3),0)</f>
        <v>0</v>
      </c>
      <c r="H133" s="97">
        <f t="shared" ref="H133:H135" si="113">IFERROR(ROUND((F133/D133)-1,3),0)</f>
        <v>0</v>
      </c>
      <c r="I133" s="200"/>
      <c r="J133" s="108">
        <f t="shared" ref="J133:K135" si="114">ROUND(E133*$I133,2)</f>
        <v>0</v>
      </c>
      <c r="K133" s="108">
        <f t="shared" si="114"/>
        <v>0</v>
      </c>
      <c r="L133" s="108">
        <f t="shared" ref="L133:L135" si="115">ROUND(K133-J133,2)</f>
        <v>0</v>
      </c>
      <c r="M133" s="99"/>
    </row>
    <row r="134" spans="1:13" x14ac:dyDescent="0.25">
      <c r="A134" s="93"/>
      <c r="B134" s="93"/>
      <c r="C134" s="95"/>
      <c r="D134" s="190"/>
      <c r="E134" s="96">
        <f t="shared" si="107"/>
        <v>0</v>
      </c>
      <c r="F134" s="190"/>
      <c r="G134" s="97">
        <f t="shared" si="112"/>
        <v>0</v>
      </c>
      <c r="H134" s="97">
        <f t="shared" si="113"/>
        <v>0</v>
      </c>
      <c r="I134" s="200"/>
      <c r="J134" s="108">
        <f t="shared" si="114"/>
        <v>0</v>
      </c>
      <c r="K134" s="108">
        <f t="shared" si="114"/>
        <v>0</v>
      </c>
      <c r="L134" s="108">
        <f t="shared" si="115"/>
        <v>0</v>
      </c>
      <c r="M134" s="99"/>
    </row>
    <row r="135" spans="1:13" x14ac:dyDescent="0.25">
      <c r="A135" s="93"/>
      <c r="B135" s="93"/>
      <c r="C135" s="95"/>
      <c r="D135" s="190"/>
      <c r="E135" s="96">
        <f t="shared" si="107"/>
        <v>0</v>
      </c>
      <c r="F135" s="190"/>
      <c r="G135" s="97">
        <f t="shared" si="112"/>
        <v>0</v>
      </c>
      <c r="H135" s="97">
        <f t="shared" si="113"/>
        <v>0</v>
      </c>
      <c r="I135" s="200"/>
      <c r="J135" s="108">
        <f t="shared" si="114"/>
        <v>0</v>
      </c>
      <c r="K135" s="108">
        <f t="shared" si="114"/>
        <v>0</v>
      </c>
      <c r="L135" s="108">
        <f t="shared" si="115"/>
        <v>0</v>
      </c>
      <c r="M135" s="99"/>
    </row>
    <row r="136" spans="1:13" s="207" customFormat="1" ht="30" x14ac:dyDescent="0.25">
      <c r="A136" s="194"/>
      <c r="B136" s="195" t="s">
        <v>43</v>
      </c>
      <c r="C136" s="195" t="s">
        <v>44</v>
      </c>
      <c r="D136" s="208"/>
      <c r="E136" s="208"/>
      <c r="F136" s="208"/>
      <c r="G136" s="208"/>
      <c r="H136" s="208"/>
      <c r="I136" s="209"/>
      <c r="J136" s="210"/>
      <c r="K136" s="210"/>
      <c r="L136" s="211"/>
    </row>
    <row r="137" spans="1:13" ht="30" x14ac:dyDescent="0.25">
      <c r="A137" s="93" t="s">
        <v>171</v>
      </c>
      <c r="B137" s="94" t="s">
        <v>180</v>
      </c>
      <c r="C137" s="95" t="s">
        <v>44</v>
      </c>
      <c r="D137" s="96">
        <v>100</v>
      </c>
      <c r="E137" s="96">
        <f t="shared" ref="E137:E141" si="116">ROUND(D137*$B$8*$B$9,2)</f>
        <v>100</v>
      </c>
      <c r="F137" s="96">
        <v>100</v>
      </c>
      <c r="G137" s="97">
        <f t="shared" ref="G137" si="117">IFERROR((F137/E137)-1,0)</f>
        <v>0</v>
      </c>
      <c r="H137" s="97">
        <f t="shared" ref="H137" si="118">IFERROR((F137/D137)-1,0)</f>
        <v>0</v>
      </c>
      <c r="I137" s="200">
        <v>100</v>
      </c>
      <c r="J137" s="108">
        <f t="shared" ref="J137:K137" si="119">ROUND(E137*$I137,2)</f>
        <v>10000</v>
      </c>
      <c r="K137" s="108">
        <f t="shared" si="119"/>
        <v>10000</v>
      </c>
      <c r="L137" s="108">
        <f t="shared" ref="L137" si="120">ROUND(K137-J137,2)</f>
        <v>0</v>
      </c>
    </row>
    <row r="138" spans="1:13" s="73" customFormat="1" x14ac:dyDescent="0.25">
      <c r="A138" s="93"/>
      <c r="B138" s="93"/>
      <c r="C138" s="95"/>
      <c r="D138" s="190"/>
      <c r="E138" s="96">
        <f t="shared" si="116"/>
        <v>0</v>
      </c>
      <c r="F138" s="190"/>
      <c r="G138" s="97">
        <f>IFERROR(ROUND((F138/E138)-1,3),0)</f>
        <v>0</v>
      </c>
      <c r="H138" s="97">
        <f>IFERROR(ROUND((F138/D138)-1,3),0)</f>
        <v>0</v>
      </c>
      <c r="I138" s="200"/>
      <c r="J138" s="108">
        <f>ROUND(E138*$I138,2)</f>
        <v>0</v>
      </c>
      <c r="K138" s="108">
        <f>ROUND(F138*$I138,2)</f>
        <v>0</v>
      </c>
      <c r="L138" s="108">
        <f>ROUND(K138-J138,2)</f>
        <v>0</v>
      </c>
    </row>
    <row r="139" spans="1:13" x14ac:dyDescent="0.25">
      <c r="A139" s="93"/>
      <c r="B139" s="93"/>
      <c r="C139" s="95"/>
      <c r="D139" s="190"/>
      <c r="E139" s="96">
        <f t="shared" si="116"/>
        <v>0</v>
      </c>
      <c r="F139" s="190"/>
      <c r="G139" s="97">
        <f t="shared" ref="G139:G141" si="121">IFERROR(ROUND((F139/E139)-1,3),0)</f>
        <v>0</v>
      </c>
      <c r="H139" s="97">
        <f t="shared" ref="H139:H141" si="122">IFERROR(ROUND((F139/D139)-1,3),0)</f>
        <v>0</v>
      </c>
      <c r="I139" s="200"/>
      <c r="J139" s="108">
        <f t="shared" ref="J139:K141" si="123">ROUND(E139*$I139,2)</f>
        <v>0</v>
      </c>
      <c r="K139" s="108">
        <f t="shared" si="123"/>
        <v>0</v>
      </c>
      <c r="L139" s="108">
        <f t="shared" ref="L139:L141" si="124">ROUND(K139-J139,2)</f>
        <v>0</v>
      </c>
      <c r="M139" s="99"/>
    </row>
    <row r="140" spans="1:13" x14ac:dyDescent="0.25">
      <c r="A140" s="93"/>
      <c r="B140" s="93"/>
      <c r="C140" s="95"/>
      <c r="D140" s="190"/>
      <c r="E140" s="96">
        <f t="shared" si="116"/>
        <v>0</v>
      </c>
      <c r="F140" s="190"/>
      <c r="G140" s="97">
        <f t="shared" si="121"/>
        <v>0</v>
      </c>
      <c r="H140" s="97">
        <f t="shared" si="122"/>
        <v>0</v>
      </c>
      <c r="I140" s="200"/>
      <c r="J140" s="108">
        <f t="shared" si="123"/>
        <v>0</v>
      </c>
      <c r="K140" s="108">
        <f t="shared" si="123"/>
        <v>0</v>
      </c>
      <c r="L140" s="108">
        <f t="shared" si="124"/>
        <v>0</v>
      </c>
      <c r="M140" s="99"/>
    </row>
    <row r="141" spans="1:13" x14ac:dyDescent="0.25">
      <c r="A141" s="93"/>
      <c r="B141" s="93"/>
      <c r="C141" s="95"/>
      <c r="D141" s="190"/>
      <c r="E141" s="96">
        <f t="shared" si="116"/>
        <v>0</v>
      </c>
      <c r="F141" s="190"/>
      <c r="G141" s="97">
        <f t="shared" si="121"/>
        <v>0</v>
      </c>
      <c r="H141" s="97">
        <f t="shared" si="122"/>
        <v>0</v>
      </c>
      <c r="I141" s="200"/>
      <c r="J141" s="108">
        <f t="shared" si="123"/>
        <v>0</v>
      </c>
      <c r="K141" s="108">
        <f t="shared" si="123"/>
        <v>0</v>
      </c>
      <c r="L141" s="108">
        <f t="shared" si="124"/>
        <v>0</v>
      </c>
      <c r="M141" s="99"/>
    </row>
    <row r="142" spans="1:13" s="207" customFormat="1" ht="30" x14ac:dyDescent="0.25">
      <c r="A142" s="194"/>
      <c r="B142" s="195" t="s">
        <v>52</v>
      </c>
      <c r="C142" s="195" t="s">
        <v>53</v>
      </c>
      <c r="D142" s="208"/>
      <c r="E142" s="208"/>
      <c r="F142" s="208"/>
      <c r="G142" s="208"/>
      <c r="H142" s="208"/>
      <c r="I142" s="209"/>
      <c r="J142" s="210"/>
      <c r="K142" s="210"/>
      <c r="L142" s="211"/>
    </row>
    <row r="143" spans="1:13" x14ac:dyDescent="0.25">
      <c r="A143" s="93" t="s">
        <v>171</v>
      </c>
      <c r="B143" s="93" t="s">
        <v>181</v>
      </c>
      <c r="C143" s="95" t="s">
        <v>53</v>
      </c>
      <c r="D143" s="190">
        <v>100</v>
      </c>
      <c r="E143" s="96">
        <f t="shared" ref="E143:E147" si="125">ROUND(D143*$B$8*$B$9,2)</f>
        <v>100</v>
      </c>
      <c r="F143" s="190">
        <v>100</v>
      </c>
      <c r="G143" s="97">
        <f t="shared" ref="G143" si="126">IFERROR((F143/E143)-1,0)</f>
        <v>0</v>
      </c>
      <c r="H143" s="97">
        <f t="shared" ref="H143" si="127">IFERROR((F143/D143)-1,0)</f>
        <v>0</v>
      </c>
      <c r="I143" s="200">
        <v>100</v>
      </c>
      <c r="J143" s="108">
        <f t="shared" ref="J143:K143" si="128">ROUND(E143*$I143,2)</f>
        <v>10000</v>
      </c>
      <c r="K143" s="108">
        <f t="shared" si="128"/>
        <v>10000</v>
      </c>
      <c r="L143" s="108">
        <f t="shared" ref="L143" si="129">ROUND(K143-J143,2)</f>
        <v>0</v>
      </c>
    </row>
    <row r="144" spans="1:13" s="73" customFormat="1" x14ac:dyDescent="0.25">
      <c r="A144" s="93"/>
      <c r="B144" s="93"/>
      <c r="C144" s="95"/>
      <c r="D144" s="190"/>
      <c r="E144" s="96">
        <f t="shared" si="125"/>
        <v>0</v>
      </c>
      <c r="F144" s="190"/>
      <c r="G144" s="97">
        <f>IFERROR(ROUND((F144/E144)-1,3),0)</f>
        <v>0</v>
      </c>
      <c r="H144" s="97">
        <f>IFERROR(ROUND((F144/D144)-1,3),0)</f>
        <v>0</v>
      </c>
      <c r="I144" s="200"/>
      <c r="J144" s="108">
        <f>ROUND(E144*$I144,2)</f>
        <v>0</v>
      </c>
      <c r="K144" s="108">
        <f>ROUND(F144*$I144,2)</f>
        <v>0</v>
      </c>
      <c r="L144" s="108">
        <f>ROUND(K144-J144,2)</f>
        <v>0</v>
      </c>
    </row>
    <row r="145" spans="1:13" x14ac:dyDescent="0.25">
      <c r="A145" s="93"/>
      <c r="B145" s="93"/>
      <c r="C145" s="95"/>
      <c r="D145" s="190"/>
      <c r="E145" s="96">
        <f t="shared" si="125"/>
        <v>0</v>
      </c>
      <c r="F145" s="190"/>
      <c r="G145" s="97">
        <f t="shared" ref="G145:G147" si="130">IFERROR(ROUND((F145/E145)-1,3),0)</f>
        <v>0</v>
      </c>
      <c r="H145" s="97">
        <f t="shared" ref="H145:H147" si="131">IFERROR(ROUND((F145/D145)-1,3),0)</f>
        <v>0</v>
      </c>
      <c r="I145" s="200"/>
      <c r="J145" s="108">
        <f t="shared" ref="J145:K147" si="132">ROUND(E145*$I145,2)</f>
        <v>0</v>
      </c>
      <c r="K145" s="108">
        <f t="shared" si="132"/>
        <v>0</v>
      </c>
      <c r="L145" s="108">
        <f t="shared" ref="L145:L147" si="133">ROUND(K145-J145,2)</f>
        <v>0</v>
      </c>
      <c r="M145" s="99"/>
    </row>
    <row r="146" spans="1:13" x14ac:dyDescent="0.25">
      <c r="A146" s="93"/>
      <c r="B146" s="93"/>
      <c r="C146" s="95"/>
      <c r="D146" s="190"/>
      <c r="E146" s="96">
        <f t="shared" si="125"/>
        <v>0</v>
      </c>
      <c r="F146" s="190"/>
      <c r="G146" s="97">
        <f t="shared" si="130"/>
        <v>0</v>
      </c>
      <c r="H146" s="97">
        <f t="shared" si="131"/>
        <v>0</v>
      </c>
      <c r="I146" s="200"/>
      <c r="J146" s="108">
        <f t="shared" si="132"/>
        <v>0</v>
      </c>
      <c r="K146" s="108">
        <f t="shared" si="132"/>
        <v>0</v>
      </c>
      <c r="L146" s="108">
        <f t="shared" si="133"/>
        <v>0</v>
      </c>
      <c r="M146" s="99"/>
    </row>
    <row r="147" spans="1:13" x14ac:dyDescent="0.25">
      <c r="A147" s="93"/>
      <c r="B147" s="93"/>
      <c r="C147" s="95"/>
      <c r="D147" s="190"/>
      <c r="E147" s="96">
        <f t="shared" si="125"/>
        <v>0</v>
      </c>
      <c r="F147" s="190"/>
      <c r="G147" s="97">
        <f t="shared" si="130"/>
        <v>0</v>
      </c>
      <c r="H147" s="97">
        <f t="shared" si="131"/>
        <v>0</v>
      </c>
      <c r="I147" s="200"/>
      <c r="J147" s="108">
        <f t="shared" si="132"/>
        <v>0</v>
      </c>
      <c r="K147" s="108">
        <f t="shared" si="132"/>
        <v>0</v>
      </c>
      <c r="L147" s="108">
        <f t="shared" si="133"/>
        <v>0</v>
      </c>
      <c r="M147" s="99"/>
    </row>
  </sheetData>
  <mergeCells count="6">
    <mergeCell ref="L14:M14"/>
    <mergeCell ref="J84:L84"/>
    <mergeCell ref="D1:E1"/>
    <mergeCell ref="A2:B2"/>
    <mergeCell ref="A11:N12"/>
    <mergeCell ref="A81:L82"/>
  </mergeCells>
  <conditionalFormatting sqref="D9">
    <cfRule type="expression" dxfId="3" priority="1">
      <formula>$D9="Fail"</formula>
    </cfRule>
    <cfRule type="expression" dxfId="2" priority="2">
      <formula>$D9="Pass"</formula>
    </cfRule>
  </conditionalFormatting>
  <pageMargins left="0.25" right="0.25" top="0.75" bottom="0.75" header="0.3" footer="0.3"/>
  <pageSetup paperSize="5" scale="5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pageSetUpPr fitToPage="1"/>
  </sheetPr>
  <dimension ref="A1:P82"/>
  <sheetViews>
    <sheetView tabSelected="1" topLeftCell="A16" zoomScale="85" zoomScaleNormal="85" workbookViewId="0">
      <selection activeCell="J29" sqref="J29"/>
    </sheetView>
  </sheetViews>
  <sheetFormatPr defaultColWidth="9.140625" defaultRowHeight="15" x14ac:dyDescent="0.25"/>
  <cols>
    <col min="1" max="1" width="9.140625" style="36"/>
    <col min="2" max="2" width="61" style="100" customWidth="1"/>
    <col min="3" max="3" width="25.7109375" style="33" customWidth="1"/>
    <col min="4" max="4" width="25" style="80" customWidth="1"/>
    <col min="5" max="5" width="15.7109375" style="32" customWidth="1"/>
    <col min="6" max="6" width="17.7109375" style="32" customWidth="1"/>
    <col min="7" max="9" width="15.7109375" style="32" customWidth="1"/>
    <col min="10" max="10" width="15.7109375" style="34" customWidth="1"/>
    <col min="11" max="11" width="16.28515625" style="34" bestFit="1" customWidth="1"/>
    <col min="12" max="12" width="15.7109375" style="34" customWidth="1"/>
    <col min="13" max="13" width="15.7109375" style="35" customWidth="1"/>
    <col min="14" max="16" width="18.28515625" style="36" customWidth="1"/>
    <col min="17" max="17" width="15.7109375" style="36" customWidth="1"/>
    <col min="18" max="16384" width="9.140625" style="36"/>
  </cols>
  <sheetData>
    <row r="1" spans="1:16" ht="21" x14ac:dyDescent="0.35">
      <c r="A1" s="317" t="str">
        <f>'Exogenous Costs'!A2</f>
        <v>Filing Date:  06/16/20</v>
      </c>
      <c r="B1" s="113"/>
      <c r="C1" s="80"/>
      <c r="D1" s="334"/>
      <c r="E1" s="334"/>
      <c r="F1" s="60"/>
      <c r="I1" s="34"/>
      <c r="L1" s="35"/>
      <c r="M1" s="36"/>
    </row>
    <row r="2" spans="1:16" x14ac:dyDescent="0.25">
      <c r="A2" s="339" t="str">
        <f>'Exogenous Costs'!A3</f>
        <v xml:space="preserve">Filing Entity:  </v>
      </c>
      <c r="B2" s="339"/>
      <c r="C2" s="80"/>
      <c r="D2" s="32"/>
      <c r="F2" s="38"/>
      <c r="I2" s="34"/>
      <c r="L2" s="35"/>
      <c r="M2" s="36"/>
    </row>
    <row r="3" spans="1:16" x14ac:dyDescent="0.25">
      <c r="A3" s="317" t="str">
        <f>'Exogenous Costs'!A4</f>
        <v xml:space="preserve">Transmittal Number:  </v>
      </c>
      <c r="B3" s="113"/>
      <c r="C3" s="117"/>
      <c r="D3" s="32"/>
      <c r="F3" s="38"/>
      <c r="I3" s="34"/>
      <c r="L3" s="35"/>
      <c r="M3" s="36"/>
    </row>
    <row r="4" spans="1:16" x14ac:dyDescent="0.25">
      <c r="A4" s="355"/>
      <c r="B4" s="355"/>
      <c r="C4" s="117"/>
      <c r="D4" s="32"/>
      <c r="F4" s="38"/>
      <c r="G4" s="73"/>
      <c r="H4" s="36"/>
      <c r="I4" s="36"/>
      <c r="J4" s="36"/>
      <c r="K4" s="36"/>
      <c r="L4" s="36"/>
      <c r="M4" s="36"/>
    </row>
    <row r="5" spans="1:16" x14ac:dyDescent="0.25">
      <c r="A5" s="39"/>
      <c r="B5" s="33"/>
      <c r="C5" s="28"/>
      <c r="D5" s="32"/>
      <c r="F5" s="38"/>
      <c r="G5" s="73"/>
      <c r="H5" s="36"/>
      <c r="I5" s="36"/>
      <c r="J5" s="36"/>
      <c r="K5" s="36"/>
      <c r="L5" s="36"/>
      <c r="M5" s="36"/>
    </row>
    <row r="6" spans="1:16" x14ac:dyDescent="0.25">
      <c r="A6" s="355" t="s">
        <v>19</v>
      </c>
      <c r="B6" s="355"/>
      <c r="C6" s="365" t="str">
        <f>'Exogenous Costs'!A24</f>
        <v>222222222</v>
      </c>
      <c r="D6" s="365"/>
      <c r="E6" s="365"/>
      <c r="F6" s="38"/>
      <c r="G6" s="73"/>
      <c r="H6" s="36"/>
      <c r="I6" s="36"/>
      <c r="J6" s="36"/>
      <c r="K6" s="36"/>
      <c r="L6" s="36"/>
      <c r="M6" s="36"/>
    </row>
    <row r="7" spans="1:16" x14ac:dyDescent="0.25">
      <c r="A7" s="355" t="s">
        <v>20</v>
      </c>
      <c r="B7" s="355"/>
      <c r="C7" s="365" t="str">
        <f>'Exogenous Costs'!B20</f>
        <v>Holding Company Name</v>
      </c>
      <c r="D7" s="365"/>
      <c r="E7" s="365"/>
      <c r="F7" s="365"/>
      <c r="G7" s="73"/>
      <c r="H7" s="36"/>
      <c r="I7" s="36"/>
      <c r="J7" s="36"/>
      <c r="K7" s="36"/>
      <c r="L7" s="36"/>
      <c r="M7" s="36"/>
    </row>
    <row r="8" spans="1:16" x14ac:dyDescent="0.25">
      <c r="A8" s="355" t="s">
        <v>21</v>
      </c>
      <c r="B8" s="355"/>
      <c r="C8" s="366" t="str">
        <f>CONCATENATE('Exogenous Costs'!C20,", ",'Exogenous Costs'!C21,", ",'Exogenous Costs'!C22,", ",'Exogenous Costs'!C23)</f>
        <v>222222, 222223, 222224, 222225</v>
      </c>
      <c r="D8" s="366"/>
      <c r="E8" s="366"/>
      <c r="F8" s="366"/>
      <c r="G8" s="73"/>
      <c r="H8" s="36"/>
      <c r="I8" s="36"/>
      <c r="J8" s="36"/>
      <c r="K8" s="36"/>
      <c r="L8" s="36"/>
      <c r="M8" s="36"/>
    </row>
    <row r="9" spans="1:16" x14ac:dyDescent="0.25">
      <c r="A9" s="359" t="s">
        <v>90</v>
      </c>
      <c r="B9" s="359"/>
      <c r="C9" s="304">
        <f>ROUND('Factor Dev'!R20,6)</f>
        <v>99.640100000000004</v>
      </c>
      <c r="E9" s="141"/>
      <c r="F9" s="38"/>
      <c r="G9" s="36"/>
      <c r="H9" s="36"/>
      <c r="I9" s="36"/>
      <c r="J9" s="36"/>
      <c r="K9" s="36"/>
      <c r="L9" s="36"/>
      <c r="M9" s="36"/>
    </row>
    <row r="10" spans="1:16" ht="18" x14ac:dyDescent="0.35">
      <c r="A10" s="358" t="s">
        <v>167</v>
      </c>
      <c r="B10" s="358"/>
      <c r="C10" s="315">
        <f>'Factor Dev'!Q20</f>
        <v>100</v>
      </c>
      <c r="D10" s="28"/>
      <c r="G10" s="38"/>
      <c r="H10" s="36"/>
      <c r="I10" s="36"/>
      <c r="J10" s="58"/>
      <c r="K10" s="58"/>
      <c r="L10" s="36"/>
      <c r="M10" s="36"/>
    </row>
    <row r="11" spans="1:16" ht="15" customHeight="1" thickBot="1" x14ac:dyDescent="0.3">
      <c r="B11" s="22"/>
      <c r="D11" s="28"/>
      <c r="F11" s="367"/>
      <c r="G11" s="367"/>
      <c r="H11" s="367"/>
      <c r="I11" s="367"/>
      <c r="J11" s="367"/>
      <c r="K11" s="367"/>
      <c r="L11" s="71"/>
      <c r="N11" s="10"/>
      <c r="O11" s="10"/>
      <c r="P11" s="10"/>
    </row>
    <row r="12" spans="1:16" ht="15.75" thickBot="1" x14ac:dyDescent="0.3">
      <c r="A12" s="152"/>
      <c r="B12" s="370" t="str">
        <f>C7&amp;" Dashboard"</f>
        <v>Holding Company Name Dashboard</v>
      </c>
      <c r="C12" s="370"/>
      <c r="D12" s="370"/>
      <c r="E12" s="370"/>
      <c r="F12" s="371"/>
      <c r="G12" s="368" t="s">
        <v>54</v>
      </c>
      <c r="H12" s="369"/>
      <c r="I12" s="368" t="s">
        <v>55</v>
      </c>
      <c r="J12" s="369"/>
      <c r="K12" s="368" t="s">
        <v>66</v>
      </c>
      <c r="L12" s="369"/>
      <c r="N12" s="10"/>
      <c r="O12" s="10"/>
      <c r="P12" s="10"/>
    </row>
    <row r="13" spans="1:16" ht="100.15" customHeight="1" x14ac:dyDescent="0.25">
      <c r="A13" s="214"/>
      <c r="B13" s="140" t="s">
        <v>5</v>
      </c>
      <c r="C13" s="132" t="s">
        <v>143</v>
      </c>
      <c r="D13" s="219" t="s">
        <v>91</v>
      </c>
      <c r="E13" s="132" t="s">
        <v>92</v>
      </c>
      <c r="F13" s="235" t="s">
        <v>93</v>
      </c>
      <c r="G13" s="285" t="s">
        <v>144</v>
      </c>
      <c r="H13" s="287" t="s">
        <v>145</v>
      </c>
      <c r="I13" s="285" t="s">
        <v>144</v>
      </c>
      <c r="J13" s="287" t="s">
        <v>145</v>
      </c>
      <c r="K13" s="7" t="s">
        <v>144</v>
      </c>
      <c r="L13" s="8" t="s">
        <v>145</v>
      </c>
      <c r="M13" s="36"/>
    </row>
    <row r="14" spans="1:16" x14ac:dyDescent="0.25">
      <c r="A14" s="214"/>
      <c r="B14" s="116"/>
      <c r="C14" s="193" t="str">
        <f>"Col "&amp;COLUMN(C14)+46</f>
        <v>Col 49</v>
      </c>
      <c r="D14" s="193" t="str">
        <f>"Col "&amp;COLUMN(D14)+46</f>
        <v>Col 50</v>
      </c>
      <c r="E14" s="193" t="str">
        <f t="shared" ref="E14" si="0">"Col "&amp;COLUMN(E14)+46</f>
        <v>Col 51</v>
      </c>
      <c r="F14" s="236" t="str">
        <f t="shared" ref="F14:L14" si="1">"Col "&amp;COLUMN(F14)+46</f>
        <v>Col 52</v>
      </c>
      <c r="G14" s="19" t="str">
        <f t="shared" si="1"/>
        <v>Col 53</v>
      </c>
      <c r="H14" s="236" t="str">
        <f t="shared" si="1"/>
        <v>Col 54</v>
      </c>
      <c r="I14" s="19" t="str">
        <f t="shared" si="1"/>
        <v>Col 55</v>
      </c>
      <c r="J14" s="18" t="str">
        <f t="shared" si="1"/>
        <v>Col 56</v>
      </c>
      <c r="K14" s="151" t="str">
        <f t="shared" si="1"/>
        <v>Col 57</v>
      </c>
      <c r="L14" s="18" t="str">
        <f t="shared" si="1"/>
        <v>Col 58</v>
      </c>
      <c r="M14" s="36"/>
    </row>
    <row r="15" spans="1:16" ht="123.6" customHeight="1" x14ac:dyDescent="0.25">
      <c r="A15" s="215" t="s">
        <v>73</v>
      </c>
      <c r="B15" s="116"/>
      <c r="C15" s="20" t="s">
        <v>2</v>
      </c>
      <c r="D15" s="54" t="str">
        <f>"("&amp;L14&amp;"  / "&amp;K14&amp;") X Col 49"</f>
        <v>(Col 58  / Col 57) X Col 49</v>
      </c>
      <c r="E15" s="178" t="s">
        <v>94</v>
      </c>
      <c r="F15" s="237" t="str">
        <f>D14&amp;" Must Be Less Than Or Equal To "&amp;E14&amp;" To Pass"</f>
        <v>Col 50 Must Be Less Than Or Equal To Col 51 To Pass</v>
      </c>
      <c r="G15" s="7" t="s">
        <v>48</v>
      </c>
      <c r="H15" s="237" t="s">
        <v>49</v>
      </c>
      <c r="I15" s="7" t="s">
        <v>50</v>
      </c>
      <c r="J15" s="8" t="s">
        <v>51</v>
      </c>
      <c r="K15" s="189" t="str">
        <f>"Sum("&amp;G14&amp;" + "&amp;I14&amp;")"</f>
        <v>Sum(Col 53 + Col 55)</v>
      </c>
      <c r="L15" s="8" t="str">
        <f>"Sum("&amp;H14&amp;" + "&amp;J14&amp;")"</f>
        <v>Sum(Col 54 + Col 56)</v>
      </c>
      <c r="M15" s="36"/>
    </row>
    <row r="16" spans="1:16" x14ac:dyDescent="0.25">
      <c r="A16" s="216">
        <v>1</v>
      </c>
      <c r="B16" s="64" t="s">
        <v>62</v>
      </c>
      <c r="C16" s="191">
        <v>100</v>
      </c>
      <c r="D16" s="192">
        <f>IFERROR(ROUND((L16/K16)*C16,6),100)</f>
        <v>97.914402999999993</v>
      </c>
      <c r="E16" s="191">
        <f>IF((SUM(K16,L16)&lt;&gt;0),C16*($C$9/$C$10)*1.05,"NA")</f>
        <v>104.622105</v>
      </c>
      <c r="F16" s="238" t="str">
        <f t="shared" ref="F16" si="2">IF(D16&lt;=E16,"Pass","Fail")</f>
        <v>Pass</v>
      </c>
      <c r="G16" s="68">
        <f t="shared" ref="G16:L21" si="3">ROUND(SUM(C31,C46,C61,C76),2)</f>
        <v>2206008.48</v>
      </c>
      <c r="H16" s="239">
        <f t="shared" si="3"/>
        <v>2160000</v>
      </c>
      <c r="I16" s="68">
        <f t="shared" si="3"/>
        <v>163408</v>
      </c>
      <c r="J16" s="69">
        <f t="shared" si="3"/>
        <v>160000</v>
      </c>
      <c r="K16" s="218">
        <f t="shared" si="3"/>
        <v>2369416.48</v>
      </c>
      <c r="L16" s="69">
        <f t="shared" si="3"/>
        <v>2320000</v>
      </c>
      <c r="M16" s="36"/>
    </row>
    <row r="17" spans="1:16" x14ac:dyDescent="0.25">
      <c r="A17" s="216">
        <v>2</v>
      </c>
      <c r="B17" s="64" t="s">
        <v>40</v>
      </c>
      <c r="C17" s="191">
        <v>100</v>
      </c>
      <c r="D17" s="192">
        <f t="shared" ref="D17" si="4">IFERROR(ROUND((L17/K17)*C17,6),100)</f>
        <v>97.914402999999993</v>
      </c>
      <c r="E17" s="191">
        <f t="shared" ref="E17:E21" si="5">IF((SUM(K17,L17)&lt;&gt;0),C17*($C$9/$C$10)*1.05,"NA")</f>
        <v>104.622105</v>
      </c>
      <c r="F17" s="238" t="str">
        <f t="shared" ref="F17:F22" si="6">IF(D17&lt;=E17,"Pass","Fail")</f>
        <v>Pass</v>
      </c>
      <c r="G17" s="68">
        <f t="shared" si="3"/>
        <v>551502.12</v>
      </c>
      <c r="H17" s="239">
        <f t="shared" si="3"/>
        <v>540000</v>
      </c>
      <c r="I17" s="68">
        <f t="shared" si="3"/>
        <v>40852</v>
      </c>
      <c r="J17" s="69">
        <f t="shared" si="3"/>
        <v>40000</v>
      </c>
      <c r="K17" s="218">
        <f t="shared" si="3"/>
        <v>592354.12</v>
      </c>
      <c r="L17" s="69">
        <f t="shared" si="3"/>
        <v>580000</v>
      </c>
      <c r="M17" s="36"/>
    </row>
    <row r="18" spans="1:16" x14ac:dyDescent="0.25">
      <c r="A18" s="216">
        <v>3</v>
      </c>
      <c r="B18" s="64" t="s">
        <v>8</v>
      </c>
      <c r="C18" s="191">
        <v>100</v>
      </c>
      <c r="D18" s="192">
        <f>IFERROR(ROUND((L18/K18)*C18,6),100)</f>
        <v>97.914402999999993</v>
      </c>
      <c r="E18" s="191">
        <f t="shared" si="5"/>
        <v>104.622105</v>
      </c>
      <c r="F18" s="238" t="str">
        <f t="shared" si="6"/>
        <v>Pass</v>
      </c>
      <c r="G18" s="68">
        <f t="shared" si="3"/>
        <v>551502.12</v>
      </c>
      <c r="H18" s="239">
        <f t="shared" si="3"/>
        <v>540000</v>
      </c>
      <c r="I18" s="68">
        <f t="shared" si="3"/>
        <v>40852</v>
      </c>
      <c r="J18" s="69">
        <f t="shared" si="3"/>
        <v>40000</v>
      </c>
      <c r="K18" s="218">
        <f t="shared" si="3"/>
        <v>592354.12</v>
      </c>
      <c r="L18" s="69">
        <f t="shared" si="3"/>
        <v>580000</v>
      </c>
      <c r="M18" s="36"/>
    </row>
    <row r="19" spans="1:16" x14ac:dyDescent="0.25">
      <c r="A19" s="216">
        <v>4</v>
      </c>
      <c r="B19" s="64" t="s">
        <v>9</v>
      </c>
      <c r="C19" s="191">
        <v>100</v>
      </c>
      <c r="D19" s="192">
        <f>IFERROR(ROUND((L19/K19)*C19,6),100)</f>
        <v>97.914402999999993</v>
      </c>
      <c r="E19" s="191">
        <f t="shared" si="5"/>
        <v>104.622105</v>
      </c>
      <c r="F19" s="238" t="str">
        <f t="shared" si="6"/>
        <v>Pass</v>
      </c>
      <c r="G19" s="68">
        <f t="shared" si="3"/>
        <v>551502.12</v>
      </c>
      <c r="H19" s="239">
        <f t="shared" si="3"/>
        <v>540000</v>
      </c>
      <c r="I19" s="68">
        <f t="shared" si="3"/>
        <v>40852</v>
      </c>
      <c r="J19" s="69">
        <f t="shared" si="3"/>
        <v>40000</v>
      </c>
      <c r="K19" s="218">
        <f t="shared" si="3"/>
        <v>592354.12</v>
      </c>
      <c r="L19" s="69">
        <f t="shared" si="3"/>
        <v>580000</v>
      </c>
      <c r="M19" s="36"/>
    </row>
    <row r="20" spans="1:16" x14ac:dyDescent="0.25">
      <c r="A20" s="216">
        <v>5</v>
      </c>
      <c r="B20" s="64" t="s">
        <v>46</v>
      </c>
      <c r="C20" s="191">
        <v>100</v>
      </c>
      <c r="D20" s="192">
        <f>IFERROR(ROUND((L20/K20)*C20,6),100)</f>
        <v>97.914402999999993</v>
      </c>
      <c r="E20" s="191">
        <f t="shared" si="5"/>
        <v>104.622105</v>
      </c>
      <c r="F20" s="238" t="str">
        <f t="shared" si="6"/>
        <v>Pass</v>
      </c>
      <c r="G20" s="68">
        <f t="shared" si="3"/>
        <v>1654506.36</v>
      </c>
      <c r="H20" s="239">
        <f t="shared" si="3"/>
        <v>1620000</v>
      </c>
      <c r="I20" s="68">
        <f t="shared" si="3"/>
        <v>122556</v>
      </c>
      <c r="J20" s="69">
        <f t="shared" si="3"/>
        <v>120000</v>
      </c>
      <c r="K20" s="218">
        <f t="shared" si="3"/>
        <v>1777062.36</v>
      </c>
      <c r="L20" s="69">
        <f t="shared" si="3"/>
        <v>1740000</v>
      </c>
      <c r="M20" s="36"/>
    </row>
    <row r="21" spans="1:16" x14ac:dyDescent="0.25">
      <c r="A21" s="216">
        <v>6</v>
      </c>
      <c r="B21" s="119" t="s">
        <v>23</v>
      </c>
      <c r="C21" s="191">
        <v>100</v>
      </c>
      <c r="D21" s="192">
        <f>IFERROR(ROUND((L21/K21)*C21,6),100)</f>
        <v>97.914402999999993</v>
      </c>
      <c r="E21" s="191">
        <f t="shared" si="5"/>
        <v>104.622105</v>
      </c>
      <c r="F21" s="238" t="str">
        <f t="shared" si="6"/>
        <v>Pass</v>
      </c>
      <c r="G21" s="68">
        <f t="shared" si="3"/>
        <v>551502.12</v>
      </c>
      <c r="H21" s="239">
        <f t="shared" si="3"/>
        <v>540000</v>
      </c>
      <c r="I21" s="68">
        <f t="shared" si="3"/>
        <v>40852</v>
      </c>
      <c r="J21" s="69">
        <f t="shared" si="3"/>
        <v>40000</v>
      </c>
      <c r="K21" s="218">
        <f t="shared" si="3"/>
        <v>592354.12</v>
      </c>
      <c r="L21" s="69">
        <f t="shared" si="3"/>
        <v>580000</v>
      </c>
      <c r="M21" s="36"/>
    </row>
    <row r="22" spans="1:16" ht="15.75" thickBot="1" x14ac:dyDescent="0.3">
      <c r="A22" s="217"/>
      <c r="B22" s="220" t="s">
        <v>78</v>
      </c>
      <c r="C22" s="212">
        <v>100</v>
      </c>
      <c r="D22" s="212">
        <f>IFERROR(ROUND((L22/K22)*C22,6),100)</f>
        <v>97.914402999999993</v>
      </c>
      <c r="E22" s="212">
        <f>ROUND(C9,4)</f>
        <v>99.640100000000004</v>
      </c>
      <c r="F22" s="295" t="str">
        <f t="shared" si="6"/>
        <v>Pass</v>
      </c>
      <c r="G22" s="296">
        <f>ROUND(SUM(C37,C52,C67,C82),2)</f>
        <v>5515021.2000000002</v>
      </c>
      <c r="H22" s="297">
        <f>SUM(D37,D52,D67,D82)</f>
        <v>5400000</v>
      </c>
      <c r="I22" s="296">
        <f>ROUND(SUM(E37,E52,E67,E82),2)</f>
        <v>408520</v>
      </c>
      <c r="J22" s="213">
        <f>ROUND(SUM(F37,F52,F67,F82),2)</f>
        <v>400000</v>
      </c>
      <c r="K22" s="240">
        <f>ROUND(SUM(G37,G52,G67,G82),2)</f>
        <v>5923541.2000000002</v>
      </c>
      <c r="L22" s="213">
        <f>ROUND(SUM(H37,H52,H67,H82),2)</f>
        <v>5800000</v>
      </c>
      <c r="M22" s="36"/>
    </row>
    <row r="23" spans="1:16" s="73" customFormat="1" x14ac:dyDescent="0.25">
      <c r="A23" s="72"/>
      <c r="B23" s="153"/>
      <c r="C23" s="154"/>
      <c r="D23" s="154"/>
      <c r="E23" s="154"/>
      <c r="F23" s="155"/>
      <c r="G23" s="156"/>
      <c r="H23" s="156"/>
      <c r="I23" s="156"/>
      <c r="J23" s="156"/>
      <c r="K23" s="67"/>
      <c r="L23" s="67"/>
    </row>
    <row r="24" spans="1:16" s="73" customFormat="1" x14ac:dyDescent="0.25">
      <c r="A24" s="72"/>
      <c r="B24" s="153"/>
      <c r="C24" s="154"/>
      <c r="D24" s="154"/>
      <c r="E24" s="154"/>
      <c r="F24" s="155"/>
      <c r="G24" s="156"/>
      <c r="H24" s="156"/>
      <c r="I24" s="156"/>
      <c r="J24" s="156"/>
      <c r="K24" s="67"/>
      <c r="L24" s="67"/>
    </row>
    <row r="25" spans="1:16" ht="15.75" thickBot="1" x14ac:dyDescent="0.3">
      <c r="B25" s="118"/>
      <c r="C25" s="57"/>
      <c r="D25" s="75"/>
      <c r="E25" s="76"/>
      <c r="F25" s="76"/>
      <c r="G25" s="38"/>
      <c r="H25" s="16"/>
      <c r="I25" s="76"/>
      <c r="J25" s="71"/>
      <c r="K25" s="71"/>
      <c r="L25" s="71"/>
      <c r="N25" s="10"/>
      <c r="O25" s="10"/>
      <c r="P25" s="10"/>
    </row>
    <row r="26" spans="1:16" ht="15.75" thickBot="1" x14ac:dyDescent="0.3">
      <c r="A26" s="356"/>
      <c r="B26" s="360" t="str">
        <f>'222222 TRP'!$B$6&amp;" "&amp;'222222 TRP'!$B$7</f>
        <v>222222 BDS HoldCo EC1</v>
      </c>
      <c r="C26" s="361"/>
      <c r="D26" s="361"/>
      <c r="E26" s="361"/>
      <c r="F26" s="361"/>
      <c r="G26" s="361"/>
      <c r="H26" s="362"/>
      <c r="M26" s="34"/>
      <c r="N26" s="34"/>
      <c r="O26" s="35"/>
    </row>
    <row r="27" spans="1:16" ht="15.75" thickBot="1" x14ac:dyDescent="0.3">
      <c r="A27" s="357"/>
      <c r="B27" s="221"/>
      <c r="C27" s="363" t="s">
        <v>54</v>
      </c>
      <c r="D27" s="364"/>
      <c r="E27" s="363" t="s">
        <v>55</v>
      </c>
      <c r="F27" s="364"/>
      <c r="G27" s="363" t="s">
        <v>66</v>
      </c>
      <c r="H27" s="364"/>
      <c r="I27" s="36"/>
      <c r="M27" s="34"/>
      <c r="N27" s="35"/>
    </row>
    <row r="28" spans="1:16" ht="30" x14ac:dyDescent="0.25">
      <c r="A28" s="357"/>
      <c r="B28" s="111" t="s">
        <v>5</v>
      </c>
      <c r="C28" s="285" t="s">
        <v>144</v>
      </c>
      <c r="D28" s="287" t="s">
        <v>145</v>
      </c>
      <c r="E28" s="285" t="s">
        <v>144</v>
      </c>
      <c r="F28" s="287" t="s">
        <v>145</v>
      </c>
      <c r="G28" s="285" t="s">
        <v>144</v>
      </c>
      <c r="H28" s="287" t="s">
        <v>145</v>
      </c>
      <c r="I28" s="34"/>
      <c r="K28" s="36"/>
      <c r="L28" s="36"/>
      <c r="M28" s="36"/>
    </row>
    <row r="29" spans="1:16" x14ac:dyDescent="0.25">
      <c r="A29" s="357"/>
      <c r="B29" s="222"/>
      <c r="C29" s="19" t="str">
        <f t="shared" ref="C29" si="7">"Col "&amp;COLUMN(C29)+56</f>
        <v>Col 59</v>
      </c>
      <c r="D29" s="18" t="str">
        <f>"Col "&amp;COLUMN(D29)+56</f>
        <v>Col 60</v>
      </c>
      <c r="E29" s="19" t="str">
        <f>"Col "&amp;COLUMN(E29)+56</f>
        <v>Col 61</v>
      </c>
      <c r="F29" s="18" t="str">
        <f>"Col "&amp;COLUMN(F29)+56</f>
        <v>Col 62</v>
      </c>
      <c r="G29" s="19" t="str">
        <f>"Col "&amp;COLUMN(G29)+56</f>
        <v>Col 63</v>
      </c>
      <c r="H29" s="18" t="str">
        <f>"Col "&amp;COLUMN(H29)+56</f>
        <v>Col 64</v>
      </c>
      <c r="I29" s="36"/>
      <c r="K29" s="36"/>
      <c r="L29" s="36"/>
      <c r="M29" s="36"/>
    </row>
    <row r="30" spans="1:16" ht="118.15" customHeight="1" x14ac:dyDescent="0.25">
      <c r="A30" s="215" t="s">
        <v>73</v>
      </c>
      <c r="B30" s="222"/>
      <c r="C30" s="7" t="s">
        <v>69</v>
      </c>
      <c r="D30" s="8" t="s">
        <v>70</v>
      </c>
      <c r="E30" s="7" t="s">
        <v>71</v>
      </c>
      <c r="F30" s="8" t="s">
        <v>77</v>
      </c>
      <c r="G30" s="7" t="str">
        <f>"Sum("&amp;C29&amp;" + "&amp;E29&amp;")"</f>
        <v>Sum(Col 59 + Col 61)</v>
      </c>
      <c r="H30" s="8" t="str">
        <f>"Sum("&amp;D29&amp;" + "&amp;F29&amp;")"</f>
        <v>Sum(Col 60 + Col 62)</v>
      </c>
      <c r="I30" s="36"/>
      <c r="K30" s="36"/>
      <c r="L30" s="36"/>
      <c r="M30" s="36"/>
    </row>
    <row r="31" spans="1:16" x14ac:dyDescent="0.25">
      <c r="A31" s="216">
        <v>1</v>
      </c>
      <c r="B31" s="223" t="s">
        <v>62</v>
      </c>
      <c r="C31" s="68">
        <f>ROUND((SUMIF('222222 TRP'!$C$17:$C$68,"VG",'222222 TRP'!$L$17:$L$68)+SUMIF('222222 TRP'!$C$17:$C$68,"WATS",'222222 TRP'!$L$17:$L$68)+SUMIF('222222 TRP'!$C$17:$C$68,"METAL",'222222 TRP'!$L$17:$L$68)+SUMIF('222222 TRP'!$C$17:$C$68,"TGR",'222222 TRP'!$L$17:$L$68))*12,2)</f>
        <v>687258.24</v>
      </c>
      <c r="D31" s="69">
        <f>ROUND((SUMIF('222222 TRP'!$C$17:$C$68,"VG",'222222 TRP'!$M$17:$M$68)+SUMIF('222222 TRP'!$C$17:$C$68,"WATS",'222222 TRP'!$M$17:$M$68)+SUMIF('222222 TRP'!$C$17:$C$68,"METAL",'222222 TRP'!$M$17:$M$68)+SUMIF('222222 TRP'!$C$17:$C$68,"TGR",'222222 TRP'!$M$17:$M$68))*12,2)</f>
        <v>540000</v>
      </c>
      <c r="E31" s="68">
        <f>ROUND(SUMIF('222222 TRP'!$C$89:$C$147,"VG",'222222 TRP'!$J$89:$J$147)+SUMIF('222222 TRP'!$C$89:$C$147,"WATS",'222222 TRP'!$J$89:$J$147)+SUMIF('222222 TRP'!$C$89:$C$147,"METAL",'222222 TRP'!$J$89:$J$147)+SUMIF('222222 TRP'!$C$89:$C$147,"TGR",'222222 TRP'!$J$89:$J$147),2)</f>
        <v>50908</v>
      </c>
      <c r="F31" s="69">
        <f>ROUND(SUMIF('222222 TRP'!$C$89:$C$147,"VG",'222222 TRP'!$K$89:$K$147)+SUMIF('222222 TRP'!$C$89:$C$147,"WATS",'222222 TRP'!$K$89:$K$147)+SUMIF('222222 TRP'!$C$89:$C$147,"METAL",'222222 TRP'!$K$89:$K$147)+SUMIF('222222 TRP'!$C$89:$C$147,"TGR",'222222 TRP'!$K$89:$K$147),2)</f>
        <v>40000</v>
      </c>
      <c r="G31" s="68">
        <f t="shared" ref="G31:H37" si="8">ROUND(SUM(C31,E31),2)</f>
        <v>738166.24</v>
      </c>
      <c r="H31" s="69">
        <f t="shared" si="8"/>
        <v>580000</v>
      </c>
      <c r="I31" s="36"/>
      <c r="K31" s="36"/>
      <c r="L31" s="36"/>
      <c r="M31" s="36"/>
    </row>
    <row r="32" spans="1:16" x14ac:dyDescent="0.25">
      <c r="A32" s="216">
        <v>2</v>
      </c>
      <c r="B32" s="223" t="s">
        <v>40</v>
      </c>
      <c r="C32" s="68">
        <f>ROUND((SUMIF('222222 TRP'!$C$17:$C$68,"AV",'222222 TRP'!$L$17:$L$68))*12,2)</f>
        <v>171814.56</v>
      </c>
      <c r="D32" s="69">
        <f>ROUND((SUMIF('222222 TRP'!$C$17:$C$68,"AV",'222222 TRP'!$M$17:$M$68))*12,2)</f>
        <v>135000</v>
      </c>
      <c r="E32" s="68">
        <f>ROUND(SUMIF('222222 TRP'!$C$89:$C$147,"AV",'222222 TRP'!$J$89:$J$147),2)</f>
        <v>12727</v>
      </c>
      <c r="F32" s="69">
        <f>ROUND(SUMIF('222222 TRP'!$C$89:$C$147,"AV",'222222 TRP'!$K$89:$K$147),2)</f>
        <v>10000</v>
      </c>
      <c r="G32" s="68">
        <f t="shared" si="8"/>
        <v>184541.56</v>
      </c>
      <c r="H32" s="69">
        <f t="shared" si="8"/>
        <v>145000</v>
      </c>
      <c r="I32" s="36"/>
      <c r="K32" s="36"/>
      <c r="L32" s="36"/>
      <c r="M32" s="36"/>
    </row>
    <row r="33" spans="1:14" x14ac:dyDescent="0.25">
      <c r="A33" s="216">
        <v>3</v>
      </c>
      <c r="B33" s="223" t="s">
        <v>8</v>
      </c>
      <c r="C33" s="68">
        <f>ROUND((SUMIF('222222 TRP'!$C$17:$C$68,"DS1",'222222 TRP'!$L$17:$L$68))*12,2)</f>
        <v>171814.56</v>
      </c>
      <c r="D33" s="69">
        <f>ROUND((SUMIF('222222 TRP'!$C$17:$C$68,"DS1",'222222 TRP'!$M$17:$M$68))*12,2)</f>
        <v>135000</v>
      </c>
      <c r="E33" s="68">
        <f>ROUND(SUMIF('222222 TRP'!$C$89:$C$147,"DS1",'222222 TRP'!$J$89:$J$147),2)</f>
        <v>12727</v>
      </c>
      <c r="F33" s="69">
        <f>ROUND(SUMIF('222222 TRP'!$C$89:$C$147,"DS1",'222222 TRP'!$K$89:$K$147),2)</f>
        <v>10000</v>
      </c>
      <c r="G33" s="68">
        <f t="shared" si="8"/>
        <v>184541.56</v>
      </c>
      <c r="H33" s="69">
        <f t="shared" si="8"/>
        <v>145000</v>
      </c>
      <c r="I33" s="36"/>
      <c r="K33" s="36"/>
      <c r="L33" s="36"/>
      <c r="M33" s="36"/>
    </row>
    <row r="34" spans="1:14" x14ac:dyDescent="0.25">
      <c r="A34" s="216">
        <v>4</v>
      </c>
      <c r="B34" s="223" t="s">
        <v>9</v>
      </c>
      <c r="C34" s="68">
        <f>ROUND((SUMIF('222222 TRP'!$C$17:$C$68,"DS3",'222222 TRP'!$L$17:$L$68))*12,2)</f>
        <v>171814.56</v>
      </c>
      <c r="D34" s="69">
        <f>ROUND((SUMIF('222222 TRP'!$C$17:$C$68,"DS3",'222222 TRP'!$M$17:$M$68))*12,2)</f>
        <v>135000</v>
      </c>
      <c r="E34" s="68">
        <f>ROUND(SUMIF('222222 TRP'!$C$89:$C$147,"DS3",'222222 TRP'!$J$89:$J$147),2)</f>
        <v>12727</v>
      </c>
      <c r="F34" s="69">
        <f>ROUND(SUMIF('222222 TRP'!$C$89:$C$147,"DS3",'222222 TRP'!$K$89:$K$147),2)</f>
        <v>10000</v>
      </c>
      <c r="G34" s="68">
        <f t="shared" si="8"/>
        <v>184541.56</v>
      </c>
      <c r="H34" s="69">
        <f t="shared" si="8"/>
        <v>145000</v>
      </c>
      <c r="I34" s="36"/>
      <c r="K34" s="36"/>
      <c r="L34" s="36"/>
      <c r="M34" s="36"/>
    </row>
    <row r="35" spans="1:14" x14ac:dyDescent="0.25">
      <c r="A35" s="216">
        <v>5</v>
      </c>
      <c r="B35" s="223" t="s">
        <v>46</v>
      </c>
      <c r="C35" s="68">
        <f>ROUND((SUMIF('222222 TRP'!$C$17:$C$68,"DS1",'222222 TRP'!$L$17:$L$68)+SUMIF('222222 TRP'!$C$17:$C$68,"DS3",'222222 TRP'!$L$17:$L$68)+SUMIF('222222 TRP'!$C$17:$C$68,"DDS",'222222 TRP'!$L$17:$L$68))*12,2)</f>
        <v>515443.68</v>
      </c>
      <c r="D35" s="69">
        <f>ROUND((SUMIF('222222 TRP'!$C$17:$C$68,"DS1",'222222 TRP'!$M$17:$M$68)+SUMIF('222222 TRP'!$C$17:$C$68,"DS3",'222222 TRP'!$M$17:$M$68)+SUMIF('222222 TRP'!$C$17:$C$68,"DDS",'222222 TRP'!$M$17:$M$68))*12,2)</f>
        <v>405000</v>
      </c>
      <c r="E35" s="68">
        <f>ROUND(SUMIF('222222 TRP'!$C$89:$C$147,"DS1",'222222 TRP'!$J$89:$J$147)+SUMIF('222222 TRP'!$C$89:$C$147,"DS3",'222222 TRP'!$J$89:$J$147)+SUMIF('222222 TRP'!$C$89:$C$147,"DDS",'222222 TRP'!$J$89:$J$147),2)</f>
        <v>38181</v>
      </c>
      <c r="F35" s="69">
        <f>ROUND(SUMIF('222222 TRP'!$C$89:$C$147,"DS1",'222222 TRP'!$K$89:$K$147)+SUMIF('222222 TRP'!$C$89:$C$147,"DS3",'222222 TRP'!$K$89:$K$147)+SUMIF('222222 TRP'!$C$89:$C$147,"DDS",'222222 TRP'!$K$89:$K$147),2)</f>
        <v>30000</v>
      </c>
      <c r="G35" s="68">
        <f t="shared" si="8"/>
        <v>553624.68000000005</v>
      </c>
      <c r="H35" s="69">
        <f t="shared" si="8"/>
        <v>435000</v>
      </c>
      <c r="I35" s="36"/>
      <c r="K35" s="36"/>
      <c r="L35" s="36"/>
      <c r="M35" s="36"/>
    </row>
    <row r="36" spans="1:14" x14ac:dyDescent="0.25">
      <c r="A36" s="216">
        <v>6</v>
      </c>
      <c r="B36" s="224" t="s">
        <v>23</v>
      </c>
      <c r="C36" s="68">
        <f>ROUND((SUMIF('222222 TRP'!$C$17:$C$68,"WIDE",'222222 TRP'!$L$17:$L$68))*12,2)</f>
        <v>171814.56</v>
      </c>
      <c r="D36" s="69">
        <f>ROUND((SUMIF('222222 TRP'!$C$17:$C$68,"WIDE",'222222 TRP'!$M$17:$M$68))*12,2)</f>
        <v>135000</v>
      </c>
      <c r="E36" s="68">
        <f>ROUND(SUMIF('222222 TRP'!$C$89:$C$147,"WIDE",'222222 TRP'!$J$89:$J$147),2)</f>
        <v>12727</v>
      </c>
      <c r="F36" s="69">
        <f>ROUND(SUMIF('222222 TRP'!$C$89:$C$147,"WIDE",'222222 TRP'!$K$89:$K$147),2)</f>
        <v>10000</v>
      </c>
      <c r="G36" s="68">
        <f t="shared" si="8"/>
        <v>184541.56</v>
      </c>
      <c r="H36" s="69">
        <f t="shared" si="8"/>
        <v>145000</v>
      </c>
      <c r="I36" s="36"/>
      <c r="K36" s="36"/>
      <c r="L36" s="36"/>
      <c r="M36" s="36"/>
    </row>
    <row r="37" spans="1:14" ht="15.75" thickBot="1" x14ac:dyDescent="0.3">
      <c r="A37" s="226">
        <v>7</v>
      </c>
      <c r="B37" s="225" t="s">
        <v>74</v>
      </c>
      <c r="C37" s="14">
        <f>ROUND(SUM(C31,C32,C35,C36,(SUMIF('222222 TRP'!$C$17:$C$79,"MISC",'222222 TRP'!$L$17:$L$79))*12),2)</f>
        <v>1718145.6</v>
      </c>
      <c r="D37" s="15">
        <f>ROUND(SUM(D31,D32,D35,D36,(SUMIF('222222 TRP'!$C$17:$C$79,"MISC",'222222 TRP'!$M$17:$M$79))*12),2)</f>
        <v>1350000</v>
      </c>
      <c r="E37" s="14">
        <f>ROUND(SUM(E31,E32,E35,E36,SUMIF('222222 TRP'!$C$89:$C$147,"MISC",'222222 TRP'!$J$89:$J$147)),2)</f>
        <v>127270</v>
      </c>
      <c r="F37" s="15">
        <f>ROUND(SUM(F31,F32,F35,F36,SUMIF('222222 TRP'!$C$89:$C$147,"MISC",'222222 TRP'!$K$89:$K$147)),2)</f>
        <v>100000</v>
      </c>
      <c r="G37" s="14">
        <f t="shared" si="8"/>
        <v>1845415.6</v>
      </c>
      <c r="H37" s="15">
        <f t="shared" si="8"/>
        <v>1450000</v>
      </c>
      <c r="I37" s="36"/>
      <c r="J37" s="36"/>
      <c r="K37" s="36"/>
      <c r="L37" s="36"/>
      <c r="M37" s="36"/>
    </row>
    <row r="38" spans="1:14" s="73" customFormat="1" x14ac:dyDescent="0.25">
      <c r="A38" s="157"/>
      <c r="B38" s="153"/>
      <c r="C38" s="67"/>
      <c r="D38" s="67"/>
      <c r="E38" s="67"/>
      <c r="F38" s="67"/>
      <c r="G38" s="67"/>
      <c r="H38" s="67"/>
    </row>
    <row r="39" spans="1:14" s="73" customFormat="1" x14ac:dyDescent="0.25">
      <c r="A39" s="157"/>
      <c r="B39" s="153"/>
      <c r="C39" s="67"/>
      <c r="D39" s="67"/>
      <c r="E39" s="67"/>
      <c r="F39" s="67"/>
      <c r="G39" s="67"/>
      <c r="H39" s="67"/>
    </row>
    <row r="40" spans="1:14" ht="15.75" thickBot="1" x14ac:dyDescent="0.3"/>
    <row r="41" spans="1:14" ht="15.75" thickBot="1" x14ac:dyDescent="0.3">
      <c r="A41" s="356"/>
      <c r="B41" s="360" t="str">
        <f>'222223 TRP'!$B$6&amp;" "&amp;'222223 TRP'!$B$7</f>
        <v>222223 BDS HoldCo EC2</v>
      </c>
      <c r="C41" s="361"/>
      <c r="D41" s="361"/>
      <c r="E41" s="361"/>
      <c r="F41" s="361"/>
      <c r="G41" s="361"/>
      <c r="H41" s="362"/>
    </row>
    <row r="42" spans="1:14" ht="15.75" thickBot="1" x14ac:dyDescent="0.3">
      <c r="A42" s="357"/>
      <c r="B42" s="221"/>
      <c r="C42" s="363" t="s">
        <v>54</v>
      </c>
      <c r="D42" s="364"/>
      <c r="E42" s="363" t="s">
        <v>55</v>
      </c>
      <c r="F42" s="364"/>
      <c r="G42" s="363" t="s">
        <v>66</v>
      </c>
      <c r="H42" s="364"/>
      <c r="I42" s="36"/>
      <c r="J42" s="36"/>
      <c r="M42" s="34"/>
      <c r="N42" s="35"/>
    </row>
    <row r="43" spans="1:14" ht="30" x14ac:dyDescent="0.25">
      <c r="A43" s="357"/>
      <c r="B43" s="111" t="s">
        <v>5</v>
      </c>
      <c r="C43" s="285" t="s">
        <v>144</v>
      </c>
      <c r="D43" s="287" t="s">
        <v>145</v>
      </c>
      <c r="E43" s="285" t="s">
        <v>144</v>
      </c>
      <c r="F43" s="287" t="s">
        <v>145</v>
      </c>
      <c r="G43" s="285" t="s">
        <v>144</v>
      </c>
      <c r="H43" s="287" t="s">
        <v>145</v>
      </c>
      <c r="I43" s="34"/>
      <c r="J43" s="35"/>
      <c r="K43" s="36"/>
      <c r="L43" s="36"/>
      <c r="M43" s="36"/>
    </row>
    <row r="44" spans="1:14" x14ac:dyDescent="0.25">
      <c r="A44" s="357"/>
      <c r="B44" s="222"/>
      <c r="C44" s="19" t="str">
        <f t="shared" ref="C44" si="9">"Col "&amp;COLUMN(C44)+62</f>
        <v>Col 65</v>
      </c>
      <c r="D44" s="18" t="str">
        <f>"Col "&amp;COLUMN(D44)+62</f>
        <v>Col 66</v>
      </c>
      <c r="E44" s="19" t="str">
        <f>"Col "&amp;COLUMN(E44)+62</f>
        <v>Col 67</v>
      </c>
      <c r="F44" s="18" t="str">
        <f>"Col "&amp;COLUMN(F44)+62</f>
        <v>Col 68</v>
      </c>
      <c r="G44" s="19" t="str">
        <f>"Col "&amp;COLUMN(G44)+62</f>
        <v>Col 69</v>
      </c>
      <c r="H44" s="18" t="str">
        <f>"Col "&amp;COLUMN(H44)+62</f>
        <v>Col 70</v>
      </c>
      <c r="I44" s="36"/>
      <c r="J44" s="36"/>
      <c r="K44" s="36"/>
      <c r="L44" s="36"/>
      <c r="M44" s="36"/>
    </row>
    <row r="45" spans="1:14" ht="75" x14ac:dyDescent="0.25">
      <c r="A45" s="215" t="s">
        <v>73</v>
      </c>
      <c r="B45" s="222"/>
      <c r="C45" s="7" t="s">
        <v>69</v>
      </c>
      <c r="D45" s="8" t="s">
        <v>70</v>
      </c>
      <c r="E45" s="7" t="s">
        <v>71</v>
      </c>
      <c r="F45" s="8" t="s">
        <v>77</v>
      </c>
      <c r="G45" s="7" t="str">
        <f>"Sum("&amp;C44&amp;" + "&amp;E44&amp;")"</f>
        <v>Sum(Col 65 + Col 67)</v>
      </c>
      <c r="H45" s="8" t="str">
        <f>"Sum("&amp;D44&amp;" + "&amp;F44&amp;")"</f>
        <v>Sum(Col 66 + Col 68)</v>
      </c>
      <c r="I45" s="36"/>
      <c r="J45" s="36"/>
      <c r="K45" s="36"/>
      <c r="L45" s="36"/>
      <c r="M45" s="36"/>
    </row>
    <row r="46" spans="1:14" x14ac:dyDescent="0.25">
      <c r="A46" s="216">
        <v>1</v>
      </c>
      <c r="B46" s="223" t="s">
        <v>62</v>
      </c>
      <c r="C46" s="68">
        <f>ROUND((SUMIF('222223 TRP'!$C$17:$C$68,"VG",'222223 TRP'!$L$17:$L$68)+SUMIF('222223 TRP'!$C$17:$C$68,"WATS",'222223 TRP'!$L$17:$L$68)+SUMIF('222223 TRP'!$C$17:$C$68,"METAL",'222223 TRP'!$L$17:$L$68)+SUMIF('222223 TRP'!$C$17:$C$68,"TGR",'222223 TRP'!$L$17:$L$68))*12,2)</f>
        <v>478008</v>
      </c>
      <c r="D46" s="69">
        <f>ROUND((SUMIF('222223 TRP'!$C$17:$C$68,"VG",'222223 TRP'!$M$17:$M$68)+SUMIF('222223 TRP'!$C$17:$C$68,"WATS",'222223 TRP'!$M$17:$M$68)+SUMIF('222223 TRP'!$C$17:$C$68,"METAL",'222223 TRP'!$M$17:$M$68)+SUMIF('222223 TRP'!$C$17:$C$68,"TGR",'222223 TRP'!$M$17:$M$68))*12,2)</f>
        <v>540000</v>
      </c>
      <c r="E46" s="68">
        <f>ROUND(SUMIF('222223 TRP'!$C$89:$C$147,"VG",'222223 TRP'!$J$89:$J$147)+SUMIF('222223 TRP'!$C$89:$C$147,"WATS",'222223 TRP'!$J$89:$J$147)+SUMIF('222223 TRP'!$C$89:$C$147,"METAL",'222223 TRP'!$J$89:$J$147)+SUMIF('222223 TRP'!$C$89:$C$147,"TGR",'222223 TRP'!$J$89:$J$147),2)</f>
        <v>35408</v>
      </c>
      <c r="F46" s="69">
        <f>ROUND(SUMIF('222223 TRP'!$C$89:$C$147,"VG",'222223 TRP'!$K$89:$K$147)+SUMIF('222223 TRP'!$C$89:$C$147,"WATS",'222223 TRP'!$K$89:$K$147)+SUMIF('222223 TRP'!$C$89:$C$147,"METAL",'222223 TRP'!$K$89:$K$147)+SUMIF('222223 TRP'!$C$89:$C$147,"TGR",'222223 TRP'!$K$89:$K$147),2)</f>
        <v>40000</v>
      </c>
      <c r="G46" s="68">
        <f t="shared" ref="G46:H52" si="10">ROUND(SUM(C46,E46),2)</f>
        <v>513416</v>
      </c>
      <c r="H46" s="69">
        <f t="shared" si="10"/>
        <v>580000</v>
      </c>
      <c r="I46" s="36"/>
      <c r="J46" s="36"/>
      <c r="K46" s="36"/>
      <c r="L46" s="36"/>
      <c r="M46" s="36"/>
    </row>
    <row r="47" spans="1:14" x14ac:dyDescent="0.25">
      <c r="A47" s="216">
        <v>2</v>
      </c>
      <c r="B47" s="223" t="s">
        <v>40</v>
      </c>
      <c r="C47" s="68">
        <f>ROUND((SUMIF('222223 TRP'!$C$17:$C$68,"AV",'222223 TRP'!$L$17:$L$68))*12,2)</f>
        <v>119502</v>
      </c>
      <c r="D47" s="69">
        <f>ROUND((SUMIF('222223 TRP'!$C$17:$C$68,"AV",'222223 TRP'!$M$17:$M$68))*12,2)</f>
        <v>135000</v>
      </c>
      <c r="E47" s="68">
        <f>ROUND(SUMIF('222223 TRP'!$C$89:$C$147,"AV",'222223 TRP'!$J$89:$J$147),2)</f>
        <v>8852</v>
      </c>
      <c r="F47" s="69">
        <f>ROUND(SUMIF('222223 TRP'!$C$89:$C$147,"AV",'222223 TRP'!$K$89:$K$147),2)</f>
        <v>10000</v>
      </c>
      <c r="G47" s="68">
        <f t="shared" si="10"/>
        <v>128354</v>
      </c>
      <c r="H47" s="69">
        <f t="shared" si="10"/>
        <v>145000</v>
      </c>
      <c r="I47" s="36"/>
      <c r="J47" s="36"/>
      <c r="K47" s="36"/>
      <c r="L47" s="36"/>
      <c r="M47" s="36"/>
    </row>
    <row r="48" spans="1:14" x14ac:dyDescent="0.25">
      <c r="A48" s="216">
        <v>3</v>
      </c>
      <c r="B48" s="223" t="s">
        <v>8</v>
      </c>
      <c r="C48" s="68">
        <f>ROUND((SUMIF('222223 TRP'!$C$17:$C$68,"DS1",'222223 TRP'!$L$17:$L$68))*12,2)</f>
        <v>119502</v>
      </c>
      <c r="D48" s="69">
        <f>ROUND((SUMIF('222223 TRP'!$C$17:$C$68,"DS1",'222223 TRP'!$M$17:$M$68))*12,2)</f>
        <v>135000</v>
      </c>
      <c r="E48" s="68">
        <f>ROUND(SUMIF('222223 TRP'!$C$89:$C$147,"DS1",'222223 TRP'!$J$89:$J$147),2)</f>
        <v>8852</v>
      </c>
      <c r="F48" s="69">
        <f>ROUND(SUMIF('222223 TRP'!$C$89:$C$147,"DS1",'222223 TRP'!$K$89:$K$147),2)</f>
        <v>10000</v>
      </c>
      <c r="G48" s="68">
        <f t="shared" si="10"/>
        <v>128354</v>
      </c>
      <c r="H48" s="69">
        <f t="shared" si="10"/>
        <v>145000</v>
      </c>
      <c r="I48" s="36"/>
      <c r="J48" s="36"/>
      <c r="K48" s="36"/>
      <c r="L48" s="36"/>
      <c r="M48" s="36"/>
    </row>
    <row r="49" spans="1:13" x14ac:dyDescent="0.25">
      <c r="A49" s="216">
        <v>4</v>
      </c>
      <c r="B49" s="223" t="s">
        <v>9</v>
      </c>
      <c r="C49" s="68">
        <f>ROUND((SUMIF('222223 TRP'!$C$17:$C$68,"DS3",'222223 TRP'!$L$17:$L$68))*12,2)</f>
        <v>119502</v>
      </c>
      <c r="D49" s="69">
        <f>ROUND((SUMIF('222223 TRP'!$C$17:$C$68,"DS3",'222223 TRP'!$M$17:$M$68))*12,2)</f>
        <v>135000</v>
      </c>
      <c r="E49" s="68">
        <f>ROUND(SUMIF('222223 TRP'!$C$89:$C$147,"DS3",'222223 TRP'!$J$89:$J$147),2)</f>
        <v>8852</v>
      </c>
      <c r="F49" s="69">
        <f>ROUND(SUMIF('222223 TRP'!$C$89:$C$147,"DS3",'222223 TRP'!$K$89:$K$147),2)</f>
        <v>10000</v>
      </c>
      <c r="G49" s="68">
        <f t="shared" si="10"/>
        <v>128354</v>
      </c>
      <c r="H49" s="69">
        <f t="shared" si="10"/>
        <v>145000</v>
      </c>
      <c r="I49" s="36"/>
      <c r="J49" s="36"/>
      <c r="K49" s="36"/>
      <c r="L49" s="36"/>
      <c r="M49" s="36"/>
    </row>
    <row r="50" spans="1:13" x14ac:dyDescent="0.25">
      <c r="A50" s="216">
        <v>5</v>
      </c>
      <c r="B50" s="223" t="s">
        <v>46</v>
      </c>
      <c r="C50" s="68">
        <f>ROUND((SUMIF('222223 TRP'!$C$17:$C$68,"DS1",'222223 TRP'!$L$17:$L$68)+SUMIF('222223 TRP'!$C$17:$C$68,"DS3",'222223 TRP'!$L$17:$L$68)+SUMIF('222223 TRP'!$C$17:$C$68,"DDS",'222223 TRP'!$L$17:$L$68))*12,2)</f>
        <v>358506</v>
      </c>
      <c r="D50" s="69">
        <f>ROUND((SUMIF('222223 TRP'!$C$17:$C$68,"DS1",'222223 TRP'!$M$17:$M$68)+SUMIF('222223 TRP'!$C$17:$C$68,"DS3",'222223 TRP'!$M$17:$M$68)+SUMIF('222223 TRP'!$C$17:$C$68,"DDS",'222223 TRP'!$M$17:$M$68))*12,2)</f>
        <v>405000</v>
      </c>
      <c r="E50" s="68">
        <f>ROUND(SUMIF('222223 TRP'!$C$89:$C$147,"DS1",'222223 TRP'!$J$89:$J$147)+SUMIF('222223 TRP'!$C$89:$C$147,"DS3",'222223 TRP'!$J$89:$J$147)+SUMIF('222223 TRP'!$C$89:$C$147,"DDS",'222223 TRP'!$J$89:$J$147),2)</f>
        <v>26556</v>
      </c>
      <c r="F50" s="69">
        <f>ROUND(SUMIF('222223 TRP'!$C$89:$C$147,"DS1",'222223 TRP'!$K$89:$K$147)+SUMIF('222223 TRP'!$C$89:$C$147,"DS3",'222223 TRP'!$K$89:$K$147)+SUMIF('222223 TRP'!$C$89:$C$147,"DDS",'222223 TRP'!$K$89:$K$147),2)</f>
        <v>30000</v>
      </c>
      <c r="G50" s="68">
        <f t="shared" si="10"/>
        <v>385062</v>
      </c>
      <c r="H50" s="69">
        <f t="shared" si="10"/>
        <v>435000</v>
      </c>
      <c r="I50" s="36"/>
      <c r="J50" s="36"/>
      <c r="K50" s="36"/>
      <c r="L50" s="36"/>
      <c r="M50" s="36"/>
    </row>
    <row r="51" spans="1:13" x14ac:dyDescent="0.25">
      <c r="A51" s="216">
        <v>6</v>
      </c>
      <c r="B51" s="224" t="s">
        <v>23</v>
      </c>
      <c r="C51" s="68">
        <f>ROUND((SUMIF('222223 TRP'!$C$17:$C$68,"WIDE",'222223 TRP'!$L$17:$L$68))*12,2)</f>
        <v>119502</v>
      </c>
      <c r="D51" s="69">
        <f>ROUND((SUMIF('222223 TRP'!$C$17:$C$68,"WIDE",'222223 TRP'!$M$17:$M$68))*12,2)</f>
        <v>135000</v>
      </c>
      <c r="E51" s="68">
        <f>ROUND(SUMIF('222223 TRP'!$C$89:$C$147,"WIDE",'222223 TRP'!$J$89:$J$147),2)</f>
        <v>8852</v>
      </c>
      <c r="F51" s="69">
        <f>ROUND(SUMIF('222223 TRP'!$C$89:$C$147,"WIDE",'222223 TRP'!$K$89:$K$147),2)</f>
        <v>10000</v>
      </c>
      <c r="G51" s="68">
        <f t="shared" si="10"/>
        <v>128354</v>
      </c>
      <c r="H51" s="69">
        <f t="shared" si="10"/>
        <v>145000</v>
      </c>
      <c r="I51" s="36"/>
      <c r="J51" s="36"/>
      <c r="K51" s="36"/>
      <c r="L51" s="36"/>
      <c r="M51" s="36"/>
    </row>
    <row r="52" spans="1:13" ht="15.75" thickBot="1" x14ac:dyDescent="0.3">
      <c r="A52" s="226">
        <v>7</v>
      </c>
      <c r="B52" s="225" t="s">
        <v>74</v>
      </c>
      <c r="C52" s="14">
        <f>ROUND(SUM(C46,C47,C50,C51,(SUMIF('222223 TRP'!$C$17:$C$79,"MISC",'222223 TRP'!$L$17:$L$79))*12),2)</f>
        <v>1195020</v>
      </c>
      <c r="D52" s="15">
        <f>ROUND(SUM(D46,D47,D50,D51,(SUMIF('222223 TRP'!$C$17:$C$79,"MISC",'222223 TRP'!$M$17:$M$79))*12),2)</f>
        <v>1350000</v>
      </c>
      <c r="E52" s="14">
        <f>ROUND(SUM(E46,E47,E50,E51,SUMIF('222223 TRP'!$C$89:$C$147,"MISC",'222223 TRP'!$J$89:$J$147)),2)</f>
        <v>88520</v>
      </c>
      <c r="F52" s="15">
        <f>ROUND(SUM(F46,F47,F50,F51,SUMIF('222223 TRP'!$C$89:$C$147,"MISC",'222223 TRP'!$K$89:$K$147)),2)</f>
        <v>100000</v>
      </c>
      <c r="G52" s="14">
        <f t="shared" si="10"/>
        <v>1283540</v>
      </c>
      <c r="H52" s="15">
        <f t="shared" si="10"/>
        <v>1450000</v>
      </c>
      <c r="I52" s="36"/>
      <c r="J52" s="36"/>
      <c r="K52" s="36"/>
      <c r="L52" s="36"/>
      <c r="M52" s="36"/>
    </row>
    <row r="53" spans="1:13" s="73" customFormat="1" x14ac:dyDescent="0.25">
      <c r="A53" s="157"/>
      <c r="B53" s="153"/>
      <c r="C53" s="67"/>
      <c r="D53" s="67"/>
      <c r="E53" s="67"/>
      <c r="F53" s="67"/>
      <c r="G53" s="67"/>
      <c r="H53" s="67"/>
    </row>
    <row r="54" spans="1:13" s="73" customFormat="1" x14ac:dyDescent="0.25">
      <c r="A54" s="157"/>
      <c r="B54" s="153"/>
      <c r="C54" s="67"/>
      <c r="D54" s="67"/>
      <c r="E54" s="67"/>
      <c r="F54" s="67"/>
      <c r="G54" s="67"/>
      <c r="H54" s="67"/>
    </row>
    <row r="55" spans="1:13" ht="15.75" thickBot="1" x14ac:dyDescent="0.3"/>
    <row r="56" spans="1:13" ht="15.75" thickBot="1" x14ac:dyDescent="0.3">
      <c r="A56" s="356"/>
      <c r="B56" s="360" t="str">
        <f>'222224 TRP'!$B$6&amp;" "&amp;'222224 TRP'!$B$7</f>
        <v>222224 BDS HoldCo EC3</v>
      </c>
      <c r="C56" s="361"/>
      <c r="D56" s="361"/>
      <c r="E56" s="361"/>
      <c r="F56" s="361"/>
      <c r="G56" s="361"/>
      <c r="H56" s="362"/>
    </row>
    <row r="57" spans="1:13" ht="15.75" thickBot="1" x14ac:dyDescent="0.3">
      <c r="A57" s="357"/>
      <c r="B57" s="221"/>
      <c r="C57" s="363" t="s">
        <v>54</v>
      </c>
      <c r="D57" s="364"/>
      <c r="E57" s="363" t="s">
        <v>55</v>
      </c>
      <c r="F57" s="364"/>
      <c r="G57" s="363" t="s">
        <v>66</v>
      </c>
      <c r="H57" s="364"/>
    </row>
    <row r="58" spans="1:13" ht="30" x14ac:dyDescent="0.25">
      <c r="A58" s="357"/>
      <c r="B58" s="111" t="s">
        <v>5</v>
      </c>
      <c r="C58" s="285" t="s">
        <v>144</v>
      </c>
      <c r="D58" s="287" t="s">
        <v>145</v>
      </c>
      <c r="E58" s="285" t="s">
        <v>144</v>
      </c>
      <c r="F58" s="287" t="s">
        <v>145</v>
      </c>
      <c r="G58" s="285" t="s">
        <v>144</v>
      </c>
      <c r="H58" s="287" t="s">
        <v>145</v>
      </c>
    </row>
    <row r="59" spans="1:13" x14ac:dyDescent="0.25">
      <c r="A59" s="357"/>
      <c r="B59" s="222"/>
      <c r="C59" s="19" t="str">
        <f t="shared" ref="C59" si="11">"Col "&amp;COLUMN(C59)+68</f>
        <v>Col 71</v>
      </c>
      <c r="D59" s="18" t="str">
        <f>"Col "&amp;COLUMN(D59)+68</f>
        <v>Col 72</v>
      </c>
      <c r="E59" s="19" t="str">
        <f>"Col "&amp;COLUMN(E59)+68</f>
        <v>Col 73</v>
      </c>
      <c r="F59" s="18" t="str">
        <f>"Col "&amp;COLUMN(F59)+68</f>
        <v>Col 74</v>
      </c>
      <c r="G59" s="19" t="str">
        <f>"Col "&amp;COLUMN(G59)+68</f>
        <v>Col 75</v>
      </c>
      <c r="H59" s="18" t="str">
        <f>"Col "&amp;COLUMN(H59)+68</f>
        <v>Col 76</v>
      </c>
    </row>
    <row r="60" spans="1:13" ht="75" x14ac:dyDescent="0.25">
      <c r="A60" s="215" t="s">
        <v>73</v>
      </c>
      <c r="B60" s="222"/>
      <c r="C60" s="7" t="s">
        <v>69</v>
      </c>
      <c r="D60" s="8" t="s">
        <v>70</v>
      </c>
      <c r="E60" s="7" t="s">
        <v>71</v>
      </c>
      <c r="F60" s="8" t="s">
        <v>77</v>
      </c>
      <c r="G60" s="7" t="str">
        <f>"Sum("&amp;C59&amp;" + "&amp;E59&amp;")"</f>
        <v>Sum(Col 71 + Col 73)</v>
      </c>
      <c r="H60" s="8" t="str">
        <f>"Sum("&amp;D59&amp;" + "&amp;F59&amp;")"</f>
        <v>Sum(Col 72 + Col 74)</v>
      </c>
    </row>
    <row r="61" spans="1:13" x14ac:dyDescent="0.25">
      <c r="A61" s="216">
        <v>1</v>
      </c>
      <c r="B61" s="223" t="s">
        <v>62</v>
      </c>
      <c r="C61" s="68">
        <f>ROUND((SUMIF('222224 TRP'!$C$17:$C$68,"VG",'222224 TRP'!$L$17:$L$68)+SUMIF('222224 TRP'!$C$17:$C$68,"WATS",'222224 TRP'!$L$17:$L$68)+SUMIF('222224 TRP'!$C$17:$C$68,"METAL",'222224 TRP'!$L$17:$L$68)+SUMIF('222224 TRP'!$C$17:$C$68,"TGR",'222224 TRP'!$L$17:$L$68))*12,2)</f>
        <v>500742.24</v>
      </c>
      <c r="D61" s="69">
        <f>ROUND((SUMIF('222224 TRP'!$C$17:$C$68,"VG",'222224 TRP'!$M$17:$M$68)+SUMIF('222224 TRP'!$C$17:$C$68,"WATS",'222224 TRP'!$M$17:$M$68)+SUMIF('222224 TRP'!$C$17:$C$68,"METAL",'222224 TRP'!$M$17:$M$68)+SUMIF('222224 TRP'!$C$17:$C$68,"TGR",'222224 TRP'!$M$17:$M$68))*12,2)</f>
        <v>540000</v>
      </c>
      <c r="E61" s="68">
        <f>ROUND(SUMIF('222224 TRP'!$C$89:$C$147,"VG",'222224 TRP'!$J$89:$J$147)+SUMIF('222224 TRP'!$C$89:$C$147,"WATS",'222224 TRP'!$J$89:$J$147)+SUMIF('222224 TRP'!$C$89:$C$147,"METAL",'222224 TRP'!$J$89:$J$147)+SUMIF('222224 TRP'!$C$89:$C$147,"TGR",'222224 TRP'!$J$89:$J$147),2)</f>
        <v>37092</v>
      </c>
      <c r="F61" s="69">
        <f>ROUND(SUMIF('222224 TRP'!$C$89:$C$147,"VG",'222224 TRP'!$K$89:$K$147)+SUMIF('222224 TRP'!$C$89:$C$147,"WATS",'222224 TRP'!$K$89:$K$147)+SUMIF('222224 TRP'!$C$89:$C$147,"METAL",'222224 TRP'!$K$89:$K$147)+SUMIF('222224 TRP'!$C$89:$C$147,"TGR",'222224 TRP'!$K$89:$K$147),2)</f>
        <v>40000</v>
      </c>
      <c r="G61" s="68">
        <f t="shared" ref="G61:H67" si="12">ROUND(SUM(C61,E61),2)</f>
        <v>537834.23999999999</v>
      </c>
      <c r="H61" s="69">
        <f t="shared" si="12"/>
        <v>580000</v>
      </c>
    </row>
    <row r="62" spans="1:13" x14ac:dyDescent="0.25">
      <c r="A62" s="216">
        <v>2</v>
      </c>
      <c r="B62" s="223" t="s">
        <v>40</v>
      </c>
      <c r="C62" s="68">
        <f>ROUND((SUMIF('222224 TRP'!$C$17:$C$68,"AV",'222224 TRP'!$L$17:$L$68))*12,2)</f>
        <v>125185.56</v>
      </c>
      <c r="D62" s="69">
        <f>ROUND((SUMIF('222224 TRP'!$C$17:$C$68,"AV",'222224 TRP'!$M$17:$M$68))*12,2)</f>
        <v>135000</v>
      </c>
      <c r="E62" s="68">
        <f>ROUND(SUMIF('222224 TRP'!$C$89:$C$147,"AV",'222224 TRP'!$J$89:$J$147),2)</f>
        <v>9273</v>
      </c>
      <c r="F62" s="69">
        <f>ROUND(SUMIF('222224 TRP'!$C$89:$C$147,"AV",'222224 TRP'!$K$89:$K$147),2)</f>
        <v>10000</v>
      </c>
      <c r="G62" s="68">
        <f t="shared" si="12"/>
        <v>134458.56</v>
      </c>
      <c r="H62" s="69">
        <f t="shared" si="12"/>
        <v>145000</v>
      </c>
    </row>
    <row r="63" spans="1:13" x14ac:dyDescent="0.25">
      <c r="A63" s="216">
        <v>3</v>
      </c>
      <c r="B63" s="223" t="s">
        <v>8</v>
      </c>
      <c r="C63" s="68">
        <f>ROUND((SUMIF('222224 TRP'!$C$17:$C$68,"DS1",'222224 TRP'!$L$17:$L$68))*12,2)</f>
        <v>125185.56</v>
      </c>
      <c r="D63" s="69">
        <f>ROUND((SUMIF('222224 TRP'!$C$17:$C$68,"DS1",'222224 TRP'!$M$17:$M$68))*12,2)</f>
        <v>135000</v>
      </c>
      <c r="E63" s="68">
        <f>ROUND(SUMIF('222224 TRP'!$C$89:$C$147,"DS1",'222224 TRP'!$J$89:$J$147),2)</f>
        <v>9273</v>
      </c>
      <c r="F63" s="69">
        <f>ROUND(SUMIF('222224 TRP'!$C$89:$C$147,"DS1",'222224 TRP'!$K$89:$K$147),2)</f>
        <v>10000</v>
      </c>
      <c r="G63" s="68">
        <f t="shared" si="12"/>
        <v>134458.56</v>
      </c>
      <c r="H63" s="69">
        <f t="shared" si="12"/>
        <v>145000</v>
      </c>
    </row>
    <row r="64" spans="1:13" x14ac:dyDescent="0.25">
      <c r="A64" s="216">
        <v>4</v>
      </c>
      <c r="B64" s="223" t="s">
        <v>9</v>
      </c>
      <c r="C64" s="68">
        <f>ROUND((SUMIF('222224 TRP'!$C$17:$C$68,"DS3",'222224 TRP'!$L$17:$L$68))*12,2)</f>
        <v>125185.56</v>
      </c>
      <c r="D64" s="69">
        <f>ROUND((SUMIF('222224 TRP'!$C$17:$C$68,"DS3",'222224 TRP'!$M$17:$M$68))*12,2)</f>
        <v>135000</v>
      </c>
      <c r="E64" s="68">
        <f>ROUND(SUMIF('222224 TRP'!$C$89:$C$147,"DS3",'222224 TRP'!$J$89:$J$147),2)</f>
        <v>9273</v>
      </c>
      <c r="F64" s="69">
        <f>ROUND(SUMIF('222224 TRP'!$C$89:$C$147,"DS3",'222224 TRP'!$K$89:$K$147),2)</f>
        <v>10000</v>
      </c>
      <c r="G64" s="68">
        <f t="shared" si="12"/>
        <v>134458.56</v>
      </c>
      <c r="H64" s="69">
        <f t="shared" si="12"/>
        <v>145000</v>
      </c>
    </row>
    <row r="65" spans="1:8" x14ac:dyDescent="0.25">
      <c r="A65" s="216">
        <v>5</v>
      </c>
      <c r="B65" s="223" t="s">
        <v>46</v>
      </c>
      <c r="C65" s="68">
        <f>ROUND((SUMIF('222224 TRP'!$C$17:$C$68,"DS1",'222224 TRP'!$L$17:$L$68)+SUMIF('222224 TRP'!$C$17:$C$68,"DS3",'222224 TRP'!$L$17:$L$68)+SUMIF('222224 TRP'!$C$17:$C$68,"DDS",'222224 TRP'!$L$17:$L$68))*12,2)</f>
        <v>375556.68</v>
      </c>
      <c r="D65" s="69">
        <f>ROUND((SUMIF('222224 TRP'!$C$17:$C$68,"DS1",'222224 TRP'!$M$17:$M$68)+SUMIF('222224 TRP'!$C$17:$C$68,"DS3",'222224 TRP'!$M$17:$M$68)+SUMIF('222224 TRP'!$C$17:$C$68,"DDS",'222224 TRP'!$M$17:$M$68))*12,2)</f>
        <v>405000</v>
      </c>
      <c r="E65" s="68">
        <f>ROUND(SUMIF('222224 TRP'!$C$89:$C$147,"DS1",'222224 TRP'!$J$89:$J$147)+SUMIF('222224 TRP'!$C$89:$C$147,"DS3",'222224 TRP'!$J$89:$J$147)+SUMIF('222224 TRP'!$C$89:$C$147,"DDS",'222224 TRP'!$J$89:$J$147),2)</f>
        <v>27819</v>
      </c>
      <c r="F65" s="69">
        <f>ROUND(SUMIF('222224 TRP'!$C$89:$C$147,"DS1",'222224 TRP'!$K$89:$K$147)+SUMIF('222224 TRP'!$C$89:$C$147,"DS3",'222224 TRP'!$K$89:$K$147)+SUMIF('222224 TRP'!$C$89:$C$147,"DDS",'222224 TRP'!$K$89:$K$147),2)</f>
        <v>30000</v>
      </c>
      <c r="G65" s="68">
        <f t="shared" si="12"/>
        <v>403375.68</v>
      </c>
      <c r="H65" s="69">
        <f t="shared" si="12"/>
        <v>435000</v>
      </c>
    </row>
    <row r="66" spans="1:8" x14ac:dyDescent="0.25">
      <c r="A66" s="216">
        <v>6</v>
      </c>
      <c r="B66" s="224" t="s">
        <v>23</v>
      </c>
      <c r="C66" s="68">
        <f>ROUND((SUMIF('222224 TRP'!$C$17:$C$68,"WIDE",'222224 TRP'!$L$17:$L$68))*12,2)</f>
        <v>125185.56</v>
      </c>
      <c r="D66" s="69">
        <f>ROUND((SUMIF('222224 TRP'!$C$17:$C$68,"WIDE",'222224 TRP'!$M$17:$M$68))*12,2)</f>
        <v>135000</v>
      </c>
      <c r="E66" s="68">
        <f>ROUND(SUMIF('222224 TRP'!$C$89:$C$147,"WIDE",'222224 TRP'!$J$89:$J$147),2)</f>
        <v>9273</v>
      </c>
      <c r="F66" s="69">
        <f>ROUND(SUMIF('222224 TRP'!$C$89:$C$147,"WIDE",'222224 TRP'!$K$89:$K$147),2)</f>
        <v>10000</v>
      </c>
      <c r="G66" s="68">
        <f t="shared" si="12"/>
        <v>134458.56</v>
      </c>
      <c r="H66" s="69">
        <f t="shared" si="12"/>
        <v>145000</v>
      </c>
    </row>
    <row r="67" spans="1:8" ht="15.75" thickBot="1" x14ac:dyDescent="0.3">
      <c r="A67" s="226">
        <v>7</v>
      </c>
      <c r="B67" s="225" t="s">
        <v>74</v>
      </c>
      <c r="C67" s="14">
        <f>ROUND(SUM(C61,C62,C65,C66,(SUMIF('222224 TRP'!$C$17:$C$79,"MISC",'222224 TRP'!$L$17:$L$79))*12),2)</f>
        <v>1251855.6000000001</v>
      </c>
      <c r="D67" s="15">
        <f>ROUND(SUM(D61,D62,D65,D66,(SUMIF('222224 TRP'!$C$17:$C$79,"MISC",'222224 TRP'!$M$17:$M$79))*12),2)</f>
        <v>1350000</v>
      </c>
      <c r="E67" s="14">
        <f>ROUND(SUM(E61,E62,E65,E66,SUMIF('222224 TRP'!$C$89:$C$147,"MISC",'222224 TRP'!$J$89:$J$147)),2)</f>
        <v>92730</v>
      </c>
      <c r="F67" s="15">
        <f>ROUND(SUM(F61,F62,F65,F66,SUMIF('222224 TRP'!$C$89:$C$147,"MISC",'222224 TRP'!$K$89:$K$147)),2)</f>
        <v>100000</v>
      </c>
      <c r="G67" s="14">
        <f t="shared" si="12"/>
        <v>1344585.6</v>
      </c>
      <c r="H67" s="15">
        <f t="shared" si="12"/>
        <v>1450000</v>
      </c>
    </row>
    <row r="68" spans="1:8" s="73" customFormat="1" x14ac:dyDescent="0.25">
      <c r="A68" s="157"/>
      <c r="B68" s="153"/>
      <c r="C68" s="67"/>
      <c r="D68" s="67"/>
      <c r="E68" s="67"/>
      <c r="F68" s="67"/>
      <c r="G68" s="67"/>
      <c r="H68" s="67"/>
    </row>
    <row r="69" spans="1:8" s="73" customFormat="1" x14ac:dyDescent="0.25">
      <c r="A69" s="157"/>
      <c r="B69" s="153"/>
      <c r="C69" s="67"/>
      <c r="D69" s="67"/>
      <c r="E69" s="67"/>
      <c r="F69" s="67"/>
      <c r="G69" s="67"/>
      <c r="H69" s="67"/>
    </row>
    <row r="70" spans="1:8" ht="15.75" thickBot="1" x14ac:dyDescent="0.3"/>
    <row r="71" spans="1:8" ht="15.75" thickBot="1" x14ac:dyDescent="0.3">
      <c r="A71" s="356"/>
      <c r="B71" s="360" t="str">
        <f>'222225 TRP'!$B$6&amp;" "&amp;'222225 TRP'!$B$7</f>
        <v>222225 BDS HoldCo EC4</v>
      </c>
      <c r="C71" s="361"/>
      <c r="D71" s="361"/>
      <c r="E71" s="361"/>
      <c r="F71" s="361"/>
      <c r="G71" s="361"/>
      <c r="H71" s="362"/>
    </row>
    <row r="72" spans="1:8" ht="15.75" thickBot="1" x14ac:dyDescent="0.3">
      <c r="A72" s="357"/>
      <c r="B72" s="221"/>
      <c r="C72" s="363" t="s">
        <v>54</v>
      </c>
      <c r="D72" s="364"/>
      <c r="E72" s="363" t="s">
        <v>55</v>
      </c>
      <c r="F72" s="364"/>
      <c r="G72" s="363" t="s">
        <v>66</v>
      </c>
      <c r="H72" s="364"/>
    </row>
    <row r="73" spans="1:8" ht="30" x14ac:dyDescent="0.25">
      <c r="A73" s="357"/>
      <c r="B73" s="111" t="s">
        <v>5</v>
      </c>
      <c r="C73" s="285" t="s">
        <v>144</v>
      </c>
      <c r="D73" s="287" t="s">
        <v>145</v>
      </c>
      <c r="E73" s="285" t="s">
        <v>144</v>
      </c>
      <c r="F73" s="287" t="s">
        <v>145</v>
      </c>
      <c r="G73" s="285" t="s">
        <v>144</v>
      </c>
      <c r="H73" s="287" t="s">
        <v>145</v>
      </c>
    </row>
    <row r="74" spans="1:8" x14ac:dyDescent="0.25">
      <c r="A74" s="357"/>
      <c r="B74" s="222"/>
      <c r="C74" s="19" t="str">
        <f t="shared" ref="C74:H74" si="13">"Col "&amp;COLUMN(C74)+74</f>
        <v>Col 77</v>
      </c>
      <c r="D74" s="18" t="str">
        <f t="shared" si="13"/>
        <v>Col 78</v>
      </c>
      <c r="E74" s="19" t="str">
        <f t="shared" si="13"/>
        <v>Col 79</v>
      </c>
      <c r="F74" s="18" t="str">
        <f t="shared" si="13"/>
        <v>Col 80</v>
      </c>
      <c r="G74" s="19" t="str">
        <f t="shared" si="13"/>
        <v>Col 81</v>
      </c>
      <c r="H74" s="18" t="str">
        <f t="shared" si="13"/>
        <v>Col 82</v>
      </c>
    </row>
    <row r="75" spans="1:8" ht="75" x14ac:dyDescent="0.25">
      <c r="A75" s="215" t="s">
        <v>73</v>
      </c>
      <c r="B75" s="222"/>
      <c r="C75" s="7" t="s">
        <v>69</v>
      </c>
      <c r="D75" s="8" t="s">
        <v>70</v>
      </c>
      <c r="E75" s="7" t="s">
        <v>71</v>
      </c>
      <c r="F75" s="8" t="s">
        <v>77</v>
      </c>
      <c r="G75" s="7" t="str">
        <f>"Sum("&amp;C74&amp;" + "&amp;E74&amp;")"</f>
        <v>Sum(Col 77 + Col 79)</v>
      </c>
      <c r="H75" s="8" t="str">
        <f>"Sum("&amp;D74&amp;" + "&amp;F74&amp;")"</f>
        <v>Sum(Col 78 + Col 80)</v>
      </c>
    </row>
    <row r="76" spans="1:8" x14ac:dyDescent="0.25">
      <c r="A76" s="216">
        <v>1</v>
      </c>
      <c r="B76" s="223" t="s">
        <v>62</v>
      </c>
      <c r="C76" s="68">
        <f>ROUND((SUMIF('222225 TRP'!$C$17:$C$68,"VG",'222225 TRP'!$L$17:$L$68)+SUMIF('222225 TRP'!$C$17:$C$68,"WATS",'222225 TRP'!$L$17:$L$68)+SUMIF('222225 TRP'!$C$17:$C$68,"METAL",'222225 TRP'!$L$17:$L$68)+SUMIF('222225 TRP'!$C$17:$C$68,"TGR",'222225 TRP'!$L$17:$L$68))*12,2)</f>
        <v>540000</v>
      </c>
      <c r="D76" s="69">
        <f>ROUND((SUMIF('222225 TRP'!$C$17:$C$68,"VG",'222225 TRP'!$M$17:$M$68)+SUMIF('222225 TRP'!$C$17:$C$68,"WATS",'222225 TRP'!$M$17:$M$68)+SUMIF('222225 TRP'!$C$17:$C$68,"METAL",'222225 TRP'!$M$17:$M$68)+SUMIF('222225 TRP'!$C$17:$C$68,"TGR",'222225 TRP'!$M$17:$M$68))*12,2)</f>
        <v>540000</v>
      </c>
      <c r="E76" s="68">
        <f>ROUND(SUMIF('222225 TRP'!$C$89:$C$147,"VG",'222225 TRP'!$J$89:$J$147)+SUMIF('222225 TRP'!$C$89:$C$147,"WATS",'222225 TRP'!$J$89:$J$147)+SUMIF('222225 TRP'!$C$89:$C$147,"METAL",'222225 TRP'!$J$89:$J$147)+SUMIF('222225 TRP'!$C$89:$C$147,"TGR",'222225 TRP'!$J$89:$J$147),2)</f>
        <v>40000</v>
      </c>
      <c r="F76" s="69">
        <f>ROUND(SUMIF('222225 TRP'!$C$89:$C$147,"VG",'222225 TRP'!$K$89:$K$147)+SUMIF('222225 TRP'!$C$89:$C$147,"WATS",'222225 TRP'!$K$89:$K$147)+SUMIF('222225 TRP'!$C$89:$C$147,"METAL",'222225 TRP'!$K$89:$K$147)+SUMIF('222225 TRP'!$C$89:$C$147,"TGR",'222225 TRP'!$K$89:$K$147),2)</f>
        <v>40000</v>
      </c>
      <c r="G76" s="68">
        <f t="shared" ref="G76:H82" si="14">ROUND(SUM(C76,E76),2)</f>
        <v>580000</v>
      </c>
      <c r="H76" s="69">
        <f t="shared" si="14"/>
        <v>580000</v>
      </c>
    </row>
    <row r="77" spans="1:8" x14ac:dyDescent="0.25">
      <c r="A77" s="216">
        <v>2</v>
      </c>
      <c r="B77" s="223" t="s">
        <v>40</v>
      </c>
      <c r="C77" s="68">
        <f>ROUND((SUMIF('222225 TRP'!$C$17:$C$68,"AV",'222225 TRP'!$L$17:$L$68))*12,2)</f>
        <v>135000</v>
      </c>
      <c r="D77" s="69">
        <f>ROUND((SUMIF('222225 TRP'!$C$17:$C$68,"AV",'222225 TRP'!$M$17:$M$68))*12,2)</f>
        <v>135000</v>
      </c>
      <c r="E77" s="68">
        <f>ROUND(SUMIF('222225 TRP'!$C$89:$C$147,"AV",'222225 TRP'!$J$89:$J$147),2)</f>
        <v>10000</v>
      </c>
      <c r="F77" s="69">
        <f>ROUND(SUMIF('222225 TRP'!$C$89:$C$147,"AV",'222225 TRP'!$K$89:$K$147),2)</f>
        <v>10000</v>
      </c>
      <c r="G77" s="68">
        <f t="shared" si="14"/>
        <v>145000</v>
      </c>
      <c r="H77" s="69">
        <f t="shared" si="14"/>
        <v>145000</v>
      </c>
    </row>
    <row r="78" spans="1:8" x14ac:dyDescent="0.25">
      <c r="A78" s="216">
        <v>3</v>
      </c>
      <c r="B78" s="223" t="s">
        <v>8</v>
      </c>
      <c r="C78" s="68">
        <f>ROUND((SUMIF('222225 TRP'!$C$17:$C$68,"DS1",'222225 TRP'!$L$17:$L$68))*12,2)</f>
        <v>135000</v>
      </c>
      <c r="D78" s="69">
        <f>ROUND((SUMIF('222225 TRP'!$C$17:$C$68,"DS1",'222225 TRP'!$M$17:$M$68))*12,2)</f>
        <v>135000</v>
      </c>
      <c r="E78" s="68">
        <f>ROUND(SUMIF('222225 TRP'!$C$89:$C$147,"DS1",'222225 TRP'!$J$89:$J$147),2)</f>
        <v>10000</v>
      </c>
      <c r="F78" s="69">
        <f>ROUND(SUMIF('222225 TRP'!$C$89:$C$147,"DS1",'222225 TRP'!$K$89:$K$147),2)</f>
        <v>10000</v>
      </c>
      <c r="G78" s="68">
        <f t="shared" si="14"/>
        <v>145000</v>
      </c>
      <c r="H78" s="69">
        <f t="shared" si="14"/>
        <v>145000</v>
      </c>
    </row>
    <row r="79" spans="1:8" x14ac:dyDescent="0.25">
      <c r="A79" s="216">
        <v>4</v>
      </c>
      <c r="B79" s="223" t="s">
        <v>9</v>
      </c>
      <c r="C79" s="68">
        <f>ROUND((SUMIF('222225 TRP'!$C$17:$C$68,"DS3",'222225 TRP'!$L$17:$L$68))*12,2)</f>
        <v>135000</v>
      </c>
      <c r="D79" s="69">
        <f>ROUND((SUMIF('222225 TRP'!$C$17:$C$68,"DS3",'222225 TRP'!$M$17:$M$68))*12,2)</f>
        <v>135000</v>
      </c>
      <c r="E79" s="68">
        <f>ROUND(SUMIF('222225 TRP'!$C$89:$C$147,"DS3",'222225 TRP'!$J$89:$J$147),2)</f>
        <v>10000</v>
      </c>
      <c r="F79" s="69">
        <f>ROUND(SUMIF('222225 TRP'!$C$89:$C$147,"DS3",'222225 TRP'!$K$89:$K$147),2)</f>
        <v>10000</v>
      </c>
      <c r="G79" s="68">
        <f t="shared" si="14"/>
        <v>145000</v>
      </c>
      <c r="H79" s="69">
        <f t="shared" si="14"/>
        <v>145000</v>
      </c>
    </row>
    <row r="80" spans="1:8" x14ac:dyDescent="0.25">
      <c r="A80" s="216">
        <v>5</v>
      </c>
      <c r="B80" s="223" t="s">
        <v>46</v>
      </c>
      <c r="C80" s="68">
        <f>ROUND((SUMIF('222225 TRP'!$C$17:$C$68,"DS1",'222225 TRP'!$L$17:$L$68)+SUMIF('222225 TRP'!$C$17:$C$68,"DS3",'222225 TRP'!$L$17:$L$68)+SUMIF('222225 TRP'!$C$17:$C$68,"DDS",'222225 TRP'!$L$17:$L$68))*12,2)</f>
        <v>405000</v>
      </c>
      <c r="D80" s="69">
        <f>ROUND((SUMIF('222225 TRP'!$C$17:$C$68,"DS1",'222225 TRP'!$M$17:$M$68)+SUMIF('222225 TRP'!$C$17:$C$68,"DS3",'222225 TRP'!$M$17:$M$68)+SUMIF('222225 TRP'!$C$17:$C$68,"DDS",'222225 TRP'!$M$17:$M$68))*12,2)</f>
        <v>405000</v>
      </c>
      <c r="E80" s="68">
        <f>ROUND(SUMIF('222225 TRP'!$C$89:$C$147,"DS1",'222225 TRP'!$J$89:$J$147)+SUMIF('222225 TRP'!$C$89:$C$147,"DS3",'222225 TRP'!$J$89:$J$147)+SUMIF('222225 TRP'!$C$89:$C$147,"DDS",'222225 TRP'!$J$89:$J$147),2)</f>
        <v>30000</v>
      </c>
      <c r="F80" s="69">
        <f>ROUND(SUMIF('222225 TRP'!$C$89:$C$147,"DS1",'222225 TRP'!$K$89:$K$147)+SUMIF('222225 TRP'!$C$89:$C$147,"DS3",'222225 TRP'!$K$89:$K$147)+SUMIF('222225 TRP'!$C$89:$C$147,"DDS",'222225 TRP'!$K$89:$K$147),2)</f>
        <v>30000</v>
      </c>
      <c r="G80" s="68">
        <f t="shared" si="14"/>
        <v>435000</v>
      </c>
      <c r="H80" s="69">
        <f t="shared" si="14"/>
        <v>435000</v>
      </c>
    </row>
    <row r="81" spans="1:8" x14ac:dyDescent="0.25">
      <c r="A81" s="216">
        <v>6</v>
      </c>
      <c r="B81" s="224" t="s">
        <v>23</v>
      </c>
      <c r="C81" s="68">
        <f>ROUND((SUMIF('222225 TRP'!$C$17:$C$68,"WIDE",'222225 TRP'!$L$17:$L$68))*12,2)</f>
        <v>135000</v>
      </c>
      <c r="D81" s="69">
        <f>ROUND((SUMIF('222225 TRP'!$C$17:$C$68,"WIDE",'222225 TRP'!$M$17:$M$68))*12,2)</f>
        <v>135000</v>
      </c>
      <c r="E81" s="68">
        <f>ROUND(SUMIF('222225 TRP'!$C$89:$C$147,"WIDE",'222225 TRP'!$J$89:$J$147),2)</f>
        <v>10000</v>
      </c>
      <c r="F81" s="69">
        <f>ROUND(SUMIF('222225 TRP'!$C$89:$C$147,"WIDE",'222225 TRP'!$K$89:$K$147),2)</f>
        <v>10000</v>
      </c>
      <c r="G81" s="68">
        <f t="shared" si="14"/>
        <v>145000</v>
      </c>
      <c r="H81" s="69">
        <f t="shared" si="14"/>
        <v>145000</v>
      </c>
    </row>
    <row r="82" spans="1:8" ht="15.75" thickBot="1" x14ac:dyDescent="0.3">
      <c r="A82" s="226">
        <v>7</v>
      </c>
      <c r="B82" s="225" t="s">
        <v>74</v>
      </c>
      <c r="C82" s="14">
        <f>ROUND(SUM(C76,C77,C80,C81,(SUMIF('222225 TRP'!$C$17:$C$79,"MISC",'222225 TRP'!$L$17:$L$79))*12),2)</f>
        <v>1350000</v>
      </c>
      <c r="D82" s="15">
        <f>ROUND(SUM(D76,D77,D80,D81,(SUMIF('222225 TRP'!$C$17:$C$79,"MISC",'222225 TRP'!$M$17:$M$79))*12),2)</f>
        <v>1350000</v>
      </c>
      <c r="E82" s="14">
        <f>ROUND(SUM(E76,E77,E80,E81,SUMIF('222225 TRP'!$C$89:$C$147,"MISC",'222225 TRP'!$J$89:$J$147)),2)</f>
        <v>100000</v>
      </c>
      <c r="F82" s="15">
        <f>ROUND(SUM(F76,F77,F80,F81,SUMIF('222225 TRP'!$C$89:$C$147,"MISC",'222225 TRP'!$K$89:$K$147)),2)</f>
        <v>100000</v>
      </c>
      <c r="G82" s="14">
        <f t="shared" si="14"/>
        <v>1450000</v>
      </c>
      <c r="H82" s="15">
        <f t="shared" si="14"/>
        <v>1450000</v>
      </c>
    </row>
  </sheetData>
  <mergeCells count="36">
    <mergeCell ref="A71:A74"/>
    <mergeCell ref="B71:H71"/>
    <mergeCell ref="C72:D72"/>
    <mergeCell ref="E72:F72"/>
    <mergeCell ref="G72:H72"/>
    <mergeCell ref="I12:J12"/>
    <mergeCell ref="K12:L12"/>
    <mergeCell ref="G42:H42"/>
    <mergeCell ref="G27:H27"/>
    <mergeCell ref="C27:D27"/>
    <mergeCell ref="B12:F12"/>
    <mergeCell ref="C42:D42"/>
    <mergeCell ref="E42:F42"/>
    <mergeCell ref="G12:H12"/>
    <mergeCell ref="A56:A59"/>
    <mergeCell ref="A6:B6"/>
    <mergeCell ref="A7:B7"/>
    <mergeCell ref="A8:B8"/>
    <mergeCell ref="A9:B9"/>
    <mergeCell ref="B56:H56"/>
    <mergeCell ref="C57:D57"/>
    <mergeCell ref="E57:F57"/>
    <mergeCell ref="G57:H57"/>
    <mergeCell ref="C6:E6"/>
    <mergeCell ref="C7:F7"/>
    <mergeCell ref="C8:F8"/>
    <mergeCell ref="F11:K11"/>
    <mergeCell ref="B26:H26"/>
    <mergeCell ref="B41:H41"/>
    <mergeCell ref="E27:F27"/>
    <mergeCell ref="D1:E1"/>
    <mergeCell ref="A2:B2"/>
    <mergeCell ref="A4:B4"/>
    <mergeCell ref="A26:A29"/>
    <mergeCell ref="A41:A44"/>
    <mergeCell ref="A10:B10"/>
  </mergeCells>
  <conditionalFormatting sqref="F16:F24">
    <cfRule type="expression" dxfId="1" priority="7">
      <formula>$F16="Fail"</formula>
    </cfRule>
    <cfRule type="expression" dxfId="0" priority="8">
      <formula>$F16="Pass"</formula>
    </cfRule>
  </conditionalFormatting>
  <pageMargins left="0.25" right="0.25" top="0.75" bottom="0.75" header="0.3" footer="0.3"/>
  <pageSetup paperSize="5" scale="69" fitToHeight="0" orientation="landscape" r:id="rId1"/>
  <rowBreaks count="3" manualBreakCount="3">
    <brk id="23" max="16383" man="1"/>
    <brk id="38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Instructions</vt:lpstr>
      <vt:lpstr>Exogenous Costs</vt:lpstr>
      <vt:lpstr>Factor Dev</vt:lpstr>
      <vt:lpstr>222222 TRP</vt:lpstr>
      <vt:lpstr>222223 TRP</vt:lpstr>
      <vt:lpstr>222224 TRP</vt:lpstr>
      <vt:lpstr>222225 TRP</vt:lpstr>
      <vt:lpstr>Holding Company TRP</vt:lpstr>
      <vt:lpstr>'222222 TRP'!Print_Titles</vt:lpstr>
      <vt:lpstr>'222223 TRP'!Print_Titles</vt:lpstr>
      <vt:lpstr>'222224 TRP'!Print_Titles</vt:lpstr>
      <vt:lpstr>'222225 TRP'!Print_Titles</vt:lpstr>
      <vt:lpstr>'Exogenous Costs'!Print_Titles</vt:lpstr>
      <vt:lpstr>'Factor Dev'!Print_Titles</vt:lpstr>
      <vt:lpstr>'Holding Company TRP'!Print_Titles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2020-04-08T13:09:05Z</dcterms:created>
  <dcterms:modified xsi:type="dcterms:W3CDTF">2020-04-28T15:44:17Z</dcterms:modified>
  <cp:category/>
</cp:coreProperties>
</file>