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-315" yWindow="120" windowWidth="20730" windowHeight="11760" tabRatio="335"/>
  </bookViews>
  <sheets>
    <sheet name="Base Case Totals" sheetId="1" r:id="rId1"/>
    <sheet name="Base Case District Level" sheetId="2" r:id="rId2"/>
  </sheets>
  <calcPr calcId="145621"/>
</workbook>
</file>

<file path=xl/calcChain.xml><?xml version="1.0" encoding="utf-8"?>
<calcChain xmlns="http://schemas.openxmlformats.org/spreadsheetml/2006/main">
  <c r="L8" i="1" l="1"/>
  <c r="G34" i="2"/>
  <c r="I34" i="2"/>
  <c r="G35" i="2"/>
  <c r="I35" i="2"/>
  <c r="G36" i="2"/>
  <c r="I36" i="2"/>
  <c r="G37" i="2"/>
  <c r="I37" i="2"/>
  <c r="G38" i="2"/>
  <c r="I38" i="2"/>
  <c r="I39" i="2"/>
  <c r="G25" i="2"/>
  <c r="I25" i="2"/>
  <c r="G26" i="2"/>
  <c r="I26" i="2"/>
  <c r="G27" i="2"/>
  <c r="I27" i="2"/>
  <c r="G28" i="2"/>
  <c r="I28" i="2"/>
  <c r="G29" i="2"/>
  <c r="I29" i="2"/>
  <c r="I30" i="2"/>
  <c r="G17" i="2"/>
  <c r="I17" i="2"/>
  <c r="G18" i="2"/>
  <c r="I18" i="2"/>
  <c r="G19" i="2"/>
  <c r="I19" i="2"/>
  <c r="G20" i="2"/>
  <c r="I20" i="2"/>
  <c r="I21" i="2"/>
  <c r="G9" i="2"/>
  <c r="I9" i="2"/>
  <c r="G10" i="2"/>
  <c r="I10" i="2"/>
  <c r="G11" i="2"/>
  <c r="I11" i="2"/>
  <c r="G12" i="2"/>
  <c r="I12" i="2"/>
  <c r="I13" i="2"/>
  <c r="G3" i="2"/>
  <c r="I3" i="2"/>
  <c r="G4" i="2"/>
  <c r="I4" i="2"/>
  <c r="I5" i="2"/>
  <c r="J38" i="2"/>
  <c r="K38" i="2"/>
  <c r="L38" i="2"/>
  <c r="M38" i="2"/>
  <c r="J37" i="2"/>
  <c r="K37" i="2"/>
  <c r="L37" i="2"/>
  <c r="M37" i="2"/>
  <c r="J36" i="2"/>
  <c r="K36" i="2"/>
  <c r="L36" i="2"/>
  <c r="M36" i="2"/>
  <c r="J35" i="2"/>
  <c r="K35" i="2"/>
  <c r="L35" i="2"/>
  <c r="M35" i="2"/>
  <c r="J34" i="2"/>
  <c r="K34" i="2"/>
  <c r="L34" i="2"/>
  <c r="M34" i="2"/>
  <c r="J29" i="2"/>
  <c r="K29" i="2"/>
  <c r="L29" i="2"/>
  <c r="M29" i="2"/>
  <c r="J28" i="2"/>
  <c r="K28" i="2"/>
  <c r="L28" i="2"/>
  <c r="M28" i="2"/>
  <c r="J27" i="2"/>
  <c r="K27" i="2"/>
  <c r="L27" i="2"/>
  <c r="M27" i="2"/>
  <c r="J26" i="2"/>
  <c r="K26" i="2"/>
  <c r="L26" i="2"/>
  <c r="M26" i="2"/>
  <c r="J25" i="2"/>
  <c r="K25" i="2"/>
  <c r="L25" i="2"/>
  <c r="M25" i="2"/>
  <c r="J20" i="2"/>
  <c r="K20" i="2"/>
  <c r="B45" i="2"/>
  <c r="L20" i="2"/>
  <c r="M20" i="2"/>
  <c r="J19" i="2"/>
  <c r="K19" i="2"/>
  <c r="L19" i="2"/>
  <c r="M19" i="2"/>
  <c r="J18" i="2"/>
  <c r="K18" i="2"/>
  <c r="L18" i="2"/>
  <c r="M18" i="2"/>
  <c r="J17" i="2"/>
  <c r="K17" i="2"/>
  <c r="L17" i="2"/>
  <c r="M17" i="2"/>
  <c r="J12" i="2"/>
  <c r="K12" i="2"/>
  <c r="L12" i="2"/>
  <c r="M12" i="2"/>
  <c r="J11" i="2"/>
  <c r="K11" i="2"/>
  <c r="L11" i="2"/>
  <c r="M11" i="2"/>
  <c r="J10" i="2"/>
  <c r="K10" i="2"/>
  <c r="L10" i="2"/>
  <c r="M10" i="2"/>
  <c r="J9" i="2"/>
  <c r="K9" i="2"/>
  <c r="L9" i="2"/>
  <c r="M9" i="2"/>
  <c r="J4" i="2"/>
  <c r="K4" i="2"/>
  <c r="L4" i="2"/>
  <c r="M4" i="2"/>
  <c r="J3" i="2"/>
  <c r="K3" i="2"/>
  <c r="L3" i="2"/>
  <c r="M3" i="2"/>
  <c r="G18" i="1"/>
  <c r="I18" i="1"/>
  <c r="G19" i="1"/>
  <c r="I19" i="1"/>
  <c r="G20" i="1"/>
  <c r="I20" i="1"/>
  <c r="G21" i="1"/>
  <c r="I21" i="1"/>
  <c r="G22" i="1"/>
  <c r="I22" i="1"/>
  <c r="I23" i="1"/>
  <c r="G7" i="1"/>
  <c r="I7" i="1"/>
  <c r="G8" i="1"/>
  <c r="I8" i="1"/>
  <c r="G9" i="1"/>
  <c r="I9" i="1"/>
  <c r="G10" i="1"/>
  <c r="I10" i="1"/>
  <c r="G11" i="1"/>
  <c r="I11" i="1"/>
  <c r="G12" i="1"/>
  <c r="I12" i="1"/>
  <c r="B13" i="1"/>
  <c r="G13" i="1"/>
  <c r="I13" i="1"/>
  <c r="I14" i="1"/>
  <c r="J7" i="1"/>
  <c r="K7" i="1"/>
  <c r="L7" i="1"/>
  <c r="N7" i="1"/>
  <c r="J8" i="1"/>
  <c r="K8" i="1"/>
  <c r="N8" i="1"/>
  <c r="J9" i="1"/>
  <c r="K9" i="1"/>
  <c r="L9" i="1"/>
  <c r="N9" i="1"/>
  <c r="J10" i="1"/>
  <c r="K10" i="1"/>
  <c r="L10" i="1"/>
  <c r="N10" i="1"/>
  <c r="J11" i="1"/>
  <c r="K11" i="1"/>
  <c r="L11" i="1"/>
  <c r="N11" i="1"/>
  <c r="J12" i="1"/>
  <c r="K12" i="1"/>
  <c r="L12" i="1"/>
  <c r="N12" i="1"/>
  <c r="J13" i="1"/>
  <c r="K13" i="1"/>
  <c r="L13" i="1"/>
  <c r="N13" i="1"/>
  <c r="J18" i="1"/>
  <c r="K18" i="1"/>
  <c r="L18" i="1"/>
  <c r="N18" i="1"/>
  <c r="J19" i="1"/>
  <c r="K19" i="1"/>
  <c r="L19" i="1"/>
  <c r="N19" i="1"/>
  <c r="J20" i="1"/>
  <c r="K20" i="1"/>
  <c r="L20" i="1"/>
  <c r="N20" i="1"/>
  <c r="J21" i="1"/>
  <c r="K21" i="1"/>
  <c r="L21" i="1"/>
  <c r="N21" i="1"/>
  <c r="J22" i="1"/>
  <c r="K22" i="1"/>
  <c r="L22" i="1"/>
  <c r="N22" i="1"/>
  <c r="N23" i="1"/>
  <c r="N14" i="1"/>
  <c r="N43" i="1"/>
  <c r="O7" i="1"/>
  <c r="P7" i="1"/>
  <c r="Q7" i="1"/>
  <c r="R7" i="1"/>
  <c r="H8" i="1"/>
  <c r="O8" i="1"/>
  <c r="P8" i="1"/>
  <c r="Q8" i="1"/>
  <c r="R8" i="1"/>
  <c r="H9" i="1"/>
  <c r="O9" i="1"/>
  <c r="P9" i="1"/>
  <c r="Q9" i="1"/>
  <c r="R9" i="1"/>
  <c r="H10" i="1"/>
  <c r="O10" i="1"/>
  <c r="P10" i="1"/>
  <c r="Q10" i="1"/>
  <c r="R10" i="1"/>
  <c r="P11" i="1"/>
  <c r="Q11" i="1"/>
  <c r="R11" i="1"/>
  <c r="H12" i="1"/>
  <c r="O12" i="1"/>
  <c r="P12" i="1"/>
  <c r="Q12" i="1"/>
  <c r="R12" i="1"/>
  <c r="H13" i="1"/>
  <c r="O13" i="1"/>
  <c r="P13" i="1"/>
  <c r="Q13" i="1"/>
  <c r="R13" i="1"/>
  <c r="R43" i="1"/>
  <c r="O18" i="1"/>
  <c r="P18" i="1"/>
  <c r="Q18" i="1"/>
  <c r="R18" i="1"/>
  <c r="O19" i="1"/>
  <c r="P19" i="1"/>
  <c r="Q19" i="1"/>
  <c r="R19" i="1"/>
  <c r="P20" i="1"/>
  <c r="Q20" i="1"/>
  <c r="R20" i="1"/>
  <c r="P21" i="1"/>
  <c r="Q21" i="1"/>
  <c r="R21" i="1"/>
  <c r="P22" i="1"/>
  <c r="Q22" i="1"/>
  <c r="R22" i="1"/>
  <c r="R44" i="1"/>
  <c r="Q3" i="2"/>
  <c r="P3" i="2"/>
  <c r="R3" i="2"/>
  <c r="X3" i="2"/>
  <c r="Q4" i="2"/>
  <c r="P4" i="2"/>
  <c r="R4" i="2"/>
  <c r="X4" i="2"/>
  <c r="X5" i="2"/>
  <c r="Q9" i="2"/>
  <c r="P9" i="2"/>
  <c r="R9" i="2"/>
  <c r="X9" i="2"/>
  <c r="Q10" i="2"/>
  <c r="P10" i="2"/>
  <c r="R10" i="2"/>
  <c r="X10" i="2"/>
  <c r="Q11" i="2"/>
  <c r="P11" i="2"/>
  <c r="R11" i="2"/>
  <c r="X11" i="2"/>
  <c r="Q12" i="2"/>
  <c r="R12" i="2"/>
  <c r="X12" i="2"/>
  <c r="X13" i="2"/>
  <c r="Q17" i="2"/>
  <c r="P17" i="2"/>
  <c r="R17" i="2"/>
  <c r="X17" i="2"/>
  <c r="Q18" i="2"/>
  <c r="P18" i="2"/>
  <c r="R18" i="2"/>
  <c r="X18" i="2"/>
  <c r="Q19" i="2"/>
  <c r="P19" i="2"/>
  <c r="R19" i="2"/>
  <c r="X19" i="2"/>
  <c r="Q20" i="2"/>
  <c r="R20" i="2"/>
  <c r="X20" i="2"/>
  <c r="X21" i="2"/>
  <c r="Q25" i="2"/>
  <c r="P25" i="2"/>
  <c r="R25" i="2"/>
  <c r="X25" i="2"/>
  <c r="Q26" i="2"/>
  <c r="P26" i="2"/>
  <c r="R26" i="2"/>
  <c r="X26" i="2"/>
  <c r="Q27" i="2"/>
  <c r="P27" i="2"/>
  <c r="R27" i="2"/>
  <c r="X27" i="2"/>
  <c r="Q28" i="2"/>
  <c r="P28" i="2"/>
  <c r="R28" i="2"/>
  <c r="X28" i="2"/>
  <c r="Q29" i="2"/>
  <c r="R29" i="2"/>
  <c r="X29" i="2"/>
  <c r="X30" i="2"/>
  <c r="Q34" i="2"/>
  <c r="P34" i="2"/>
  <c r="R34" i="2"/>
  <c r="X34" i="2"/>
  <c r="Q35" i="2"/>
  <c r="P35" i="2"/>
  <c r="R35" i="2"/>
  <c r="X35" i="2"/>
  <c r="Q36" i="2"/>
  <c r="P36" i="2"/>
  <c r="R36" i="2"/>
  <c r="X36" i="2"/>
  <c r="Q37" i="2"/>
  <c r="P37" i="2"/>
  <c r="R37" i="2"/>
  <c r="X37" i="2"/>
  <c r="Q38" i="2"/>
  <c r="R38" i="2"/>
  <c r="X38" i="2"/>
  <c r="X39" i="2"/>
  <c r="X49" i="2"/>
  <c r="R45" i="1"/>
  <c r="R46" i="1"/>
  <c r="H7" i="1"/>
  <c r="H11" i="1"/>
  <c r="H18" i="1"/>
  <c r="H19" i="1"/>
  <c r="H20" i="1"/>
  <c r="H21" i="1"/>
  <c r="H22" i="1"/>
  <c r="H3" i="2"/>
  <c r="H4" i="2"/>
  <c r="H9" i="2"/>
  <c r="H10" i="2"/>
  <c r="H11" i="2"/>
  <c r="H12" i="2"/>
  <c r="H17" i="2"/>
  <c r="H18" i="2"/>
  <c r="H19" i="2"/>
  <c r="H20" i="2"/>
  <c r="H25" i="2"/>
  <c r="H26" i="2"/>
  <c r="H27" i="2"/>
  <c r="H28" i="2"/>
  <c r="H29" i="2"/>
  <c r="H34" i="2"/>
  <c r="H35" i="2"/>
  <c r="H36" i="2"/>
  <c r="H37" i="2"/>
  <c r="H38" i="2"/>
  <c r="N44" i="1"/>
  <c r="M5" i="2"/>
  <c r="M13" i="2"/>
  <c r="M21" i="2"/>
  <c r="M30" i="2"/>
  <c r="M39" i="2"/>
  <c r="M41" i="2"/>
  <c r="N45" i="1"/>
  <c r="N46" i="1"/>
  <c r="H14" i="1"/>
  <c r="H23" i="1"/>
  <c r="H37" i="1"/>
  <c r="H38" i="1"/>
  <c r="H21" i="2"/>
  <c r="H39" i="1"/>
  <c r="H40" i="1"/>
  <c r="H43" i="1"/>
  <c r="H44" i="1"/>
  <c r="H5" i="2"/>
  <c r="H43" i="2"/>
  <c r="H13" i="2"/>
  <c r="H44" i="2"/>
  <c r="H45" i="2"/>
  <c r="H30" i="2"/>
  <c r="H46" i="2"/>
  <c r="H39" i="2"/>
  <c r="H47" i="2"/>
  <c r="H45" i="1"/>
  <c r="H46" i="1"/>
  <c r="W7" i="1"/>
  <c r="W8" i="1"/>
  <c r="W9" i="1"/>
  <c r="W10" i="1"/>
  <c r="W11" i="1"/>
  <c r="W12" i="1"/>
  <c r="W13" i="1"/>
  <c r="W14" i="1"/>
  <c r="T7" i="1"/>
  <c r="T8" i="1"/>
  <c r="T9" i="1"/>
  <c r="T10" i="1"/>
  <c r="T11" i="1"/>
  <c r="T12" i="1"/>
  <c r="T13" i="1"/>
  <c r="T14" i="1"/>
  <c r="M7" i="1"/>
  <c r="S7" i="1"/>
  <c r="U7" i="1"/>
  <c r="M8" i="1"/>
  <c r="S8" i="1"/>
  <c r="U8" i="1"/>
  <c r="M9" i="1"/>
  <c r="S9" i="1"/>
  <c r="U9" i="1"/>
  <c r="M10" i="1"/>
  <c r="S10" i="1"/>
  <c r="U10" i="1"/>
  <c r="M11" i="1"/>
  <c r="S11" i="1"/>
  <c r="U11" i="1"/>
  <c r="M12" i="1"/>
  <c r="S12" i="1"/>
  <c r="U12" i="1"/>
  <c r="M13" i="1"/>
  <c r="S13" i="1"/>
  <c r="U13" i="1"/>
  <c r="U14" i="1"/>
  <c r="V14" i="1"/>
  <c r="T18" i="1"/>
  <c r="T19" i="1"/>
  <c r="T20" i="1"/>
  <c r="T21" i="1"/>
  <c r="T22" i="1"/>
  <c r="T23" i="1"/>
  <c r="M18" i="1"/>
  <c r="S18" i="1"/>
  <c r="U18" i="1"/>
  <c r="M19" i="1"/>
  <c r="S19" i="1"/>
  <c r="U19" i="1"/>
  <c r="M20" i="1"/>
  <c r="S20" i="1"/>
  <c r="U20" i="1"/>
  <c r="M21" i="1"/>
  <c r="S21" i="1"/>
  <c r="U21" i="1"/>
  <c r="M22" i="1"/>
  <c r="S22" i="1"/>
  <c r="U22" i="1"/>
  <c r="U23" i="1"/>
  <c r="V23" i="1"/>
  <c r="U34" i="2"/>
  <c r="N34" i="2"/>
  <c r="S34" i="2"/>
  <c r="V34" i="2"/>
  <c r="W34" i="2"/>
  <c r="U35" i="2"/>
  <c r="N35" i="2"/>
  <c r="S35" i="2"/>
  <c r="V35" i="2"/>
  <c r="W35" i="2"/>
  <c r="U36" i="2"/>
  <c r="N36" i="2"/>
  <c r="S36" i="2"/>
  <c r="V36" i="2"/>
  <c r="W36" i="2"/>
  <c r="U37" i="2"/>
  <c r="N37" i="2"/>
  <c r="S37" i="2"/>
  <c r="V37" i="2"/>
  <c r="W37" i="2"/>
  <c r="U38" i="2"/>
  <c r="N38" i="2"/>
  <c r="S38" i="2"/>
  <c r="V38" i="2"/>
  <c r="W38" i="2"/>
  <c r="W39" i="2"/>
  <c r="U17" i="2"/>
  <c r="N17" i="2"/>
  <c r="S17" i="2"/>
  <c r="V17" i="2"/>
  <c r="W17" i="2"/>
  <c r="U18" i="2"/>
  <c r="N18" i="2"/>
  <c r="S18" i="2"/>
  <c r="V18" i="2"/>
  <c r="W18" i="2"/>
  <c r="U19" i="2"/>
  <c r="N19" i="2"/>
  <c r="S19" i="2"/>
  <c r="V19" i="2"/>
  <c r="W19" i="2"/>
  <c r="U20" i="2"/>
  <c r="N20" i="2"/>
  <c r="S20" i="2"/>
  <c r="V20" i="2"/>
  <c r="W20" i="2"/>
  <c r="W21" i="2"/>
  <c r="B49" i="2"/>
  <c r="K21" i="2"/>
  <c r="R21" i="2"/>
  <c r="N21" i="2"/>
  <c r="S21" i="2"/>
  <c r="P21" i="2"/>
  <c r="K5" i="2"/>
  <c r="R5" i="2"/>
  <c r="R43" i="2"/>
  <c r="U43" i="2"/>
  <c r="K13" i="2"/>
  <c r="R13" i="2"/>
  <c r="R44" i="2"/>
  <c r="U44" i="2"/>
  <c r="R45" i="2"/>
  <c r="U45" i="2"/>
  <c r="K30" i="2"/>
  <c r="R30" i="2"/>
  <c r="R46" i="2"/>
  <c r="U46" i="2"/>
  <c r="K39" i="2"/>
  <c r="R39" i="2"/>
  <c r="R47" i="2"/>
  <c r="U47" i="2"/>
  <c r="U49" i="2"/>
  <c r="N3" i="2"/>
  <c r="N4" i="2"/>
  <c r="N5" i="2"/>
  <c r="N43" i="2"/>
  <c r="S3" i="2"/>
  <c r="S4" i="2"/>
  <c r="S5" i="2"/>
  <c r="S43" i="2"/>
  <c r="V43" i="2"/>
  <c r="N9" i="2"/>
  <c r="N10" i="2"/>
  <c r="N11" i="2"/>
  <c r="N12" i="2"/>
  <c r="N13" i="2"/>
  <c r="N44" i="2"/>
  <c r="S9" i="2"/>
  <c r="S10" i="2"/>
  <c r="S11" i="2"/>
  <c r="S12" i="2"/>
  <c r="S13" i="2"/>
  <c r="S44" i="2"/>
  <c r="V44" i="2"/>
  <c r="N45" i="2"/>
  <c r="S45" i="2"/>
  <c r="V45" i="2"/>
  <c r="N25" i="2"/>
  <c r="N26" i="2"/>
  <c r="N27" i="2"/>
  <c r="N28" i="2"/>
  <c r="N29" i="2"/>
  <c r="N30" i="2"/>
  <c r="N46" i="2"/>
  <c r="S25" i="2"/>
  <c r="S26" i="2"/>
  <c r="S27" i="2"/>
  <c r="S28" i="2"/>
  <c r="S29" i="2"/>
  <c r="S30" i="2"/>
  <c r="S46" i="2"/>
  <c r="V46" i="2"/>
  <c r="N39" i="2"/>
  <c r="N47" i="2"/>
  <c r="S39" i="2"/>
  <c r="S47" i="2"/>
  <c r="V47" i="2"/>
  <c r="V49" i="2"/>
  <c r="W49" i="2"/>
  <c r="S49" i="2"/>
  <c r="R49" i="2"/>
  <c r="P5" i="2"/>
  <c r="P43" i="2"/>
  <c r="P13" i="2"/>
  <c r="P44" i="2"/>
  <c r="P45" i="2"/>
  <c r="P30" i="2"/>
  <c r="P46" i="2"/>
  <c r="P39" i="2"/>
  <c r="P47" i="2"/>
  <c r="P49" i="2"/>
  <c r="N49" i="2"/>
  <c r="H49" i="2"/>
  <c r="W47" i="2"/>
  <c r="W46" i="2"/>
  <c r="W45" i="2"/>
  <c r="W44" i="2"/>
  <c r="W43" i="2"/>
  <c r="V39" i="2"/>
  <c r="U39" i="2"/>
  <c r="U25" i="2"/>
  <c r="V25" i="2"/>
  <c r="W25" i="2"/>
  <c r="U26" i="2"/>
  <c r="V26" i="2"/>
  <c r="W26" i="2"/>
  <c r="U27" i="2"/>
  <c r="V27" i="2"/>
  <c r="W27" i="2"/>
  <c r="U28" i="2"/>
  <c r="V28" i="2"/>
  <c r="W28" i="2"/>
  <c r="U29" i="2"/>
  <c r="V29" i="2"/>
  <c r="W29" i="2"/>
  <c r="W30" i="2"/>
  <c r="V30" i="2"/>
  <c r="U30" i="2"/>
  <c r="V21" i="2"/>
  <c r="U21" i="2"/>
  <c r="U9" i="2"/>
  <c r="V9" i="2"/>
  <c r="W9" i="2"/>
  <c r="U10" i="2"/>
  <c r="V10" i="2"/>
  <c r="W10" i="2"/>
  <c r="U11" i="2"/>
  <c r="V11" i="2"/>
  <c r="W11" i="2"/>
  <c r="U12" i="2"/>
  <c r="V12" i="2"/>
  <c r="W12" i="2"/>
  <c r="W13" i="2"/>
  <c r="V13" i="2"/>
  <c r="U13" i="2"/>
  <c r="U3" i="2"/>
  <c r="V3" i="2"/>
  <c r="W3" i="2"/>
  <c r="U4" i="2"/>
  <c r="V4" i="2"/>
  <c r="W4" i="2"/>
  <c r="W5" i="2"/>
  <c r="V5" i="2"/>
  <c r="U5" i="2"/>
  <c r="O14" i="1"/>
  <c r="O43" i="1"/>
  <c r="O23" i="1"/>
  <c r="O44" i="1"/>
  <c r="O45" i="1"/>
  <c r="O46" i="1"/>
  <c r="K14" i="1"/>
  <c r="Q14" i="1"/>
  <c r="Q43" i="1"/>
  <c r="T43" i="1"/>
  <c r="K23" i="1"/>
  <c r="Q23" i="1"/>
  <c r="Q44" i="1"/>
  <c r="T44" i="1"/>
  <c r="T45" i="1"/>
  <c r="T46" i="1"/>
  <c r="M43" i="1"/>
  <c r="S14" i="1"/>
  <c r="S43" i="1"/>
  <c r="U43" i="1"/>
  <c r="M44" i="1"/>
  <c r="S23" i="1"/>
  <c r="S44" i="1"/>
  <c r="U44" i="1"/>
  <c r="U45" i="1"/>
  <c r="U46" i="1"/>
  <c r="V43" i="1"/>
  <c r="V44" i="1"/>
  <c r="V45" i="1"/>
  <c r="V46" i="1"/>
  <c r="S45" i="1"/>
  <c r="S46" i="1"/>
  <c r="Q45" i="1"/>
  <c r="Q46" i="1"/>
  <c r="M45" i="1"/>
  <c r="M46" i="1"/>
  <c r="B45" i="1"/>
  <c r="K37" i="1"/>
  <c r="Q37" i="1"/>
  <c r="T37" i="1"/>
  <c r="M14" i="1"/>
  <c r="M37" i="1"/>
  <c r="S37" i="1"/>
  <c r="U37" i="1"/>
  <c r="V37" i="1"/>
  <c r="K38" i="1"/>
  <c r="Q38" i="1"/>
  <c r="T38" i="1"/>
  <c r="M23" i="1"/>
  <c r="M38" i="1"/>
  <c r="S38" i="1"/>
  <c r="U38" i="1"/>
  <c r="V38" i="1"/>
  <c r="K39" i="1"/>
  <c r="Q39" i="1"/>
  <c r="T39" i="1"/>
  <c r="M39" i="1"/>
  <c r="S39" i="1"/>
  <c r="U39" i="1"/>
  <c r="V39" i="1"/>
  <c r="V40" i="1"/>
  <c r="U40" i="1"/>
  <c r="T40" i="1"/>
  <c r="S40" i="1"/>
  <c r="Q40" i="1"/>
  <c r="O37" i="1"/>
  <c r="O38" i="1"/>
  <c r="O39" i="1"/>
  <c r="O40" i="1"/>
  <c r="M40" i="1"/>
  <c r="K40" i="1"/>
  <c r="V22" i="1"/>
  <c r="V21" i="1"/>
  <c r="V20" i="1"/>
  <c r="V19" i="1"/>
  <c r="V18" i="1"/>
  <c r="V13" i="1"/>
  <c r="V12" i="1"/>
  <c r="V11" i="1"/>
  <c r="V10" i="1"/>
  <c r="V9" i="1"/>
  <c r="V8" i="1"/>
  <c r="V7" i="1"/>
</calcChain>
</file>

<file path=xl/sharedStrings.xml><?xml version="1.0" encoding="utf-8"?>
<sst xmlns="http://schemas.openxmlformats.org/spreadsheetml/2006/main" count="296" uniqueCount="91">
  <si>
    <t>Assumptions and Calculations</t>
  </si>
  <si>
    <t>Capital Expenses Base E-rate %</t>
  </si>
  <si>
    <t>Maintenance and Support Base E-rate %</t>
  </si>
  <si>
    <t>Capital Expenses</t>
  </si>
  <si>
    <t>Maintenance and Support Expenses</t>
  </si>
  <si>
    <t>Totals</t>
  </si>
  <si>
    <t>Qty</t>
  </si>
  <si>
    <t>Equipment</t>
  </si>
  <si>
    <t>Installation</t>
  </si>
  <si>
    <t>Replacement Life</t>
  </si>
  <si>
    <t>Total Per Unit</t>
  </si>
  <si>
    <t>Annual Amortized Total (10)</t>
  </si>
  <si>
    <t>E-rate %</t>
  </si>
  <si>
    <t>E-rate Share</t>
  </si>
  <si>
    <t>District Share</t>
  </si>
  <si>
    <t>Annual Cost</t>
  </si>
  <si>
    <t>E-rate</t>
  </si>
  <si>
    <t>District</t>
  </si>
  <si>
    <t>Total</t>
  </si>
  <si>
    <t>Wireless APs (1)</t>
  </si>
  <si>
    <t>Wireless Management</t>
  </si>
  <si>
    <t>Wired Drops (2)</t>
  </si>
  <si>
    <t>Access Switch Ports (3)</t>
  </si>
  <si>
    <t>Switch&lt;-&gt;Switch Fiber (4)</t>
  </si>
  <si>
    <t>UPS &amp; PDU</t>
  </si>
  <si>
    <t>IDF Rack and Accessories (5)</t>
  </si>
  <si>
    <t>Core Switching/Routing</t>
  </si>
  <si>
    <t>Core APs (6)</t>
  </si>
  <si>
    <t>Wi-Fi Site Survey</t>
  </si>
  <si>
    <t>MDF Rack and Accessories</t>
  </si>
  <si>
    <t>Router</t>
  </si>
  <si>
    <t>see next sheet for district level calculations with scaling by district size</t>
  </si>
  <si>
    <t>Firewall</t>
  </si>
  <si>
    <t>Content Filter</t>
  </si>
  <si>
    <t>Data Center Rack and Accessories</t>
  </si>
  <si>
    <t>Output Summary</t>
  </si>
  <si>
    <t>Sample District Annual Costs -- Change column B to fit your district. (11)</t>
  </si>
  <si>
    <t>Annual Total</t>
  </si>
  <si>
    <t>Classrooms</t>
  </si>
  <si>
    <t>Schools</t>
  </si>
  <si>
    <t>Grand Total</t>
  </si>
  <si>
    <t>Districts</t>
  </si>
  <si>
    <t>Notes</t>
  </si>
  <si>
    <t>(1) Assumes 1 per classroom plus 20% for coverage of common areas (the size of which tend to scale with # of classrooms). Any software licensing costs are built into the euipment list cost.</t>
  </si>
  <si>
    <t>(2) Assumes 1 per AP plus 4 mixed-use ports (e.g. desktops, VoIP phones, printers, projectors, etc.)</t>
  </si>
  <si>
    <t>(3) Matches no. of wired drops in (2)</t>
  </si>
  <si>
    <t>(5) Covers a share of overall costs for telco racks, patch panels, patch cables, and installation</t>
  </si>
  <si>
    <t>(6) Assumes 4 APs in addition to APs per classroom</t>
  </si>
  <si>
    <t>Per Tiny District (1 school)</t>
  </si>
  <si>
    <t>Annual Amortized Total</t>
  </si>
  <si>
    <t>Annual Maint/Support</t>
  </si>
  <si>
    <t>E-rate Total</t>
  </si>
  <si>
    <t>District Total</t>
  </si>
  <si>
    <t>Per Small District (2-5 schools)</t>
  </si>
  <si>
    <t>District Internal Core Switch/Router</t>
  </si>
  <si>
    <t>Data Center Racks and Accessories</t>
  </si>
  <si>
    <t>Per Medium District (6-15 schools)</t>
  </si>
  <si>
    <t>Per Large District (16-50 schools)</t>
  </si>
  <si>
    <t>Gateway Router</t>
  </si>
  <si>
    <t>Annual Total Maint/Support</t>
  </si>
  <si>
    <t>Tiny Districts</t>
  </si>
  <si>
    <t>Small Districts</t>
  </si>
  <si>
    <t>Medium Districts</t>
  </si>
  <si>
    <t>Large Districts</t>
  </si>
  <si>
    <t>Mega Districts</t>
  </si>
  <si>
    <t>WiFi</t>
  </si>
  <si>
    <t>Switches</t>
  </si>
  <si>
    <t>Wiring</t>
  </si>
  <si>
    <t>Content Filter / Firewall</t>
  </si>
  <si>
    <t>Nat'l E-Rate Need</t>
  </si>
  <si>
    <t>Classroom</t>
  </si>
  <si>
    <t>School</t>
  </si>
  <si>
    <t>Total Per Classroom</t>
  </si>
  <si>
    <t>Total Per School</t>
  </si>
  <si>
    <t>National E-rate Subsidy Required</t>
  </si>
  <si>
    <t>Total Districts</t>
  </si>
  <si>
    <t>District Counts</t>
  </si>
  <si>
    <t>Total District Capital Costs</t>
  </si>
  <si>
    <t>Total Per Tiny District</t>
  </si>
  <si>
    <t>Total Per Small District</t>
  </si>
  <si>
    <t>Total Per Medium District</t>
  </si>
  <si>
    <t>Total Per Large District</t>
  </si>
  <si>
    <t>Total Per Mega District</t>
  </si>
  <si>
    <t>% Requiring Upgrades</t>
  </si>
  <si>
    <t>Fiber Backbone</t>
  </si>
  <si>
    <t>% Meeting ConnectED Goals</t>
  </si>
  <si>
    <t>Gateway Router (7)</t>
  </si>
  <si>
    <t>(7) CPE that terminates the internet connection from the provider, but is not necessarily the district core router</t>
  </si>
  <si>
    <t>(8) Due to the disproportionately large variance of the student population in the largest 50 districts, they should all be treated as special cases not precisely accounted for here</t>
  </si>
  <si>
    <t>Per Mega District (51-2000 schools) (8)</t>
  </si>
  <si>
    <t>(4) Multimode fiber connectivity between access switch and upstream core switch. Estimate does not account for difficult construction but is likely net conservative due to stacked switches.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</si>
</sst>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#,##0.0"/>
    <numFmt numFmtId="166" formatCode="_(&quot;$&quot;* #,##0_);_(&quot;$&quot;* \(#,##0\);_(&quot;$&quot;* &quot;-&quot;??_);_(@_)"/>
    <numFmt numFmtId="167" formatCode="_(&quot;$&quot;* #,##0.0_);_(&quot;$&quot;* \(#,##0.0\);_(&quot;$&quot;* &quot;-&quot;?_);_(@_)"/>
    <numFmt numFmtId="168" formatCode="_([$$-409]* #,##0_);_([$$-409]* \(#,##0\);_([$$-409]* &quot;-&quot;_);_(@_)"/>
  </numFmts>
  <fonts count="37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95">
    <xf numFmtId="0" fontId="0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36"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3" borderId="0" xfId="0" applyFill="1" applyAlignment="1">
      <alignment wrapText="1"/>
    </xf>
    <xf numFmtId="4" fontId="0" fillId="4" borderId="2" xfId="0" applyNumberFormat="1" applyFill="1" applyBorder="1" applyAlignment="1">
      <alignment wrapText="1"/>
    </xf>
    <xf numFmtId="3" fontId="1" fillId="5" borderId="3" xfId="0" applyNumberFormat="1" applyFont="1" applyFill="1" applyBorder="1" applyAlignment="1">
      <alignment wrapText="1"/>
    </xf>
    <xf numFmtId="164" fontId="0" fillId="0" borderId="0" xfId="0" applyNumberFormat="1" applyAlignment="1">
      <alignment wrapText="1"/>
    </xf>
    <xf numFmtId="0" fontId="2" fillId="0" borderId="4" xfId="0" applyFont="1" applyBorder="1" applyAlignment="1">
      <alignment wrapText="1"/>
    </xf>
    <xf numFmtId="0" fontId="3" fillId="6" borderId="0" xfId="0" applyFont="1" applyFill="1" applyAlignment="1">
      <alignment wrapText="1"/>
    </xf>
    <xf numFmtId="164" fontId="5" fillId="8" borderId="0" xfId="0" applyNumberFormat="1" applyFont="1" applyFill="1" applyAlignment="1">
      <alignment wrapText="1"/>
    </xf>
    <xf numFmtId="3" fontId="6" fillId="0" borderId="5" xfId="0" applyNumberFormat="1" applyFont="1" applyBorder="1" applyAlignment="1">
      <alignment wrapText="1"/>
    </xf>
    <xf numFmtId="9" fontId="7" fillId="0" borderId="0" xfId="0" applyNumberFormat="1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3" fontId="9" fillId="9" borderId="0" xfId="0" applyNumberFormat="1" applyFont="1" applyFill="1" applyAlignment="1">
      <alignment horizontal="center" wrapText="1"/>
    </xf>
    <xf numFmtId="3" fontId="0" fillId="10" borderId="6" xfId="0" applyNumberFormat="1" applyFill="1" applyBorder="1" applyAlignment="1">
      <alignment wrapText="1"/>
    </xf>
    <xf numFmtId="9" fontId="0" fillId="11" borderId="0" xfId="0" applyNumberFormat="1" applyFill="1" applyAlignment="1">
      <alignment wrapText="1"/>
    </xf>
    <xf numFmtId="164" fontId="10" fillId="0" borderId="7" xfId="0" applyNumberFormat="1" applyFont="1" applyBorder="1" applyAlignment="1">
      <alignment wrapText="1"/>
    </xf>
    <xf numFmtId="3" fontId="12" fillId="13" borderId="0" xfId="0" applyNumberFormat="1" applyFont="1" applyFill="1" applyAlignment="1">
      <alignment wrapText="1"/>
    </xf>
    <xf numFmtId="0" fontId="0" fillId="14" borderId="0" xfId="0" applyFill="1" applyAlignment="1">
      <alignment wrapText="1"/>
    </xf>
    <xf numFmtId="9" fontId="0" fillId="15" borderId="8" xfId="0" applyNumberFormat="1" applyFill="1" applyBorder="1" applyAlignment="1">
      <alignment wrapText="1"/>
    </xf>
    <xf numFmtId="0" fontId="0" fillId="0" borderId="9" xfId="0" applyBorder="1" applyAlignment="1">
      <alignment wrapText="1"/>
    </xf>
    <xf numFmtId="0" fontId="14" fillId="0" borderId="0" xfId="0" applyFont="1" applyAlignment="1">
      <alignment wrapText="1"/>
    </xf>
    <xf numFmtId="9" fontId="0" fillId="0" borderId="10" xfId="0" applyNumberFormat="1" applyBorder="1" applyAlignment="1">
      <alignment wrapText="1"/>
    </xf>
    <xf numFmtId="0" fontId="0" fillId="17" borderId="11" xfId="0" applyFill="1" applyBorder="1" applyAlignment="1">
      <alignment wrapText="1"/>
    </xf>
    <xf numFmtId="164" fontId="0" fillId="0" borderId="12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0" fontId="15" fillId="18" borderId="0" xfId="0" applyFont="1" applyFill="1" applyAlignment="1">
      <alignment wrapText="1"/>
    </xf>
    <xf numFmtId="164" fontId="16" fillId="19" borderId="0" xfId="0" applyNumberFormat="1" applyFont="1" applyFill="1" applyAlignment="1">
      <alignment horizontal="center" wrapText="1"/>
    </xf>
    <xf numFmtId="9" fontId="0" fillId="0" borderId="14" xfId="0" applyNumberFormat="1" applyBorder="1" applyAlignment="1">
      <alignment wrapText="1"/>
    </xf>
    <xf numFmtId="0" fontId="0" fillId="0" borderId="15" xfId="0" applyBorder="1" applyAlignment="1">
      <alignment wrapText="1"/>
    </xf>
    <xf numFmtId="164" fontId="0" fillId="0" borderId="0" xfId="0" applyNumberFormat="1" applyAlignment="1">
      <alignment horizontal="center" wrapText="1"/>
    </xf>
    <xf numFmtId="164" fontId="0" fillId="20" borderId="0" xfId="0" applyNumberFormat="1" applyFill="1" applyAlignment="1">
      <alignment wrapText="1"/>
    </xf>
    <xf numFmtId="0" fontId="17" fillId="21" borderId="0" xfId="0" applyFont="1" applyFill="1" applyAlignment="1">
      <alignment horizontal="center" wrapText="1"/>
    </xf>
    <xf numFmtId="164" fontId="0" fillId="0" borderId="17" xfId="0" applyNumberFormat="1" applyBorder="1" applyAlignment="1">
      <alignment wrapText="1"/>
    </xf>
    <xf numFmtId="0" fontId="0" fillId="0" borderId="0" xfId="0" applyAlignment="1">
      <alignment horizontal="center" wrapText="1"/>
    </xf>
    <xf numFmtId="165" fontId="0" fillId="22" borderId="0" xfId="0" applyNumberFormat="1" applyFill="1" applyAlignment="1">
      <alignment wrapText="1"/>
    </xf>
    <xf numFmtId="164" fontId="0" fillId="23" borderId="0" xfId="0" applyNumberFormat="1" applyFill="1" applyAlignment="1">
      <alignment wrapText="1"/>
    </xf>
    <xf numFmtId="9" fontId="0" fillId="0" borderId="0" xfId="0" applyNumberFormat="1" applyAlignment="1">
      <alignment wrapText="1"/>
    </xf>
    <xf numFmtId="164" fontId="18" fillId="24" borderId="0" xfId="0" applyNumberFormat="1" applyFont="1" applyFill="1" applyAlignment="1">
      <alignment wrapText="1"/>
    </xf>
    <xf numFmtId="0" fontId="19" fillId="0" borderId="0" xfId="0" applyFont="1" applyAlignment="1">
      <alignment horizontal="right" wrapText="1"/>
    </xf>
    <xf numFmtId="164" fontId="0" fillId="26" borderId="18" xfId="0" applyNumberFormat="1" applyFill="1" applyBorder="1" applyAlignment="1">
      <alignment wrapText="1"/>
    </xf>
    <xf numFmtId="164" fontId="0" fillId="27" borderId="19" xfId="0" applyNumberFormat="1" applyFill="1" applyBorder="1" applyAlignment="1">
      <alignment wrapText="1"/>
    </xf>
    <xf numFmtId="3" fontId="0" fillId="28" borderId="0" xfId="0" applyNumberFormat="1" applyFill="1" applyAlignment="1">
      <alignment wrapText="1"/>
    </xf>
    <xf numFmtId="10" fontId="0" fillId="0" borderId="0" xfId="0" applyNumberFormat="1" applyAlignment="1">
      <alignment wrapText="1"/>
    </xf>
    <xf numFmtId="9" fontId="21" fillId="29" borderId="0" xfId="0" applyNumberFormat="1" applyFont="1" applyFill="1" applyAlignment="1">
      <alignment horizontal="center" wrapText="1"/>
    </xf>
    <xf numFmtId="3" fontId="22" fillId="30" borderId="0" xfId="0" applyNumberFormat="1" applyFont="1" applyFill="1" applyAlignment="1">
      <alignment wrapText="1"/>
    </xf>
    <xf numFmtId="3" fontId="0" fillId="31" borderId="0" xfId="0" applyNumberFormat="1" applyFill="1" applyAlignment="1">
      <alignment wrapText="1"/>
    </xf>
    <xf numFmtId="0" fontId="0" fillId="33" borderId="21" xfId="0" applyFill="1" applyBorder="1" applyAlignment="1">
      <alignment wrapText="1"/>
    </xf>
    <xf numFmtId="9" fontId="24" fillId="34" borderId="0" xfId="0" applyNumberFormat="1" applyFont="1" applyFill="1" applyAlignment="1">
      <alignment wrapText="1"/>
    </xf>
    <xf numFmtId="164" fontId="0" fillId="35" borderId="0" xfId="0" applyNumberFormat="1" applyFill="1" applyAlignment="1">
      <alignment wrapText="1"/>
    </xf>
    <xf numFmtId="0" fontId="25" fillId="36" borderId="0" xfId="0" applyFont="1" applyFill="1" applyAlignment="1">
      <alignment wrapText="1"/>
    </xf>
    <xf numFmtId="4" fontId="0" fillId="37" borderId="0" xfId="0" applyNumberFormat="1" applyFill="1" applyAlignment="1">
      <alignment wrapText="1"/>
    </xf>
    <xf numFmtId="164" fontId="26" fillId="38" borderId="22" xfId="0" applyNumberFormat="1" applyFont="1" applyFill="1" applyBorder="1" applyAlignment="1">
      <alignment wrapText="1"/>
    </xf>
    <xf numFmtId="0" fontId="0" fillId="39" borderId="0" xfId="0" applyFill="1" applyAlignment="1">
      <alignment wrapText="1"/>
    </xf>
    <xf numFmtId="3" fontId="0" fillId="0" borderId="0" xfId="0" applyNumberFormat="1" applyAlignment="1">
      <alignment horizontal="right" wrapText="1"/>
    </xf>
    <xf numFmtId="0" fontId="0" fillId="41" borderId="0" xfId="0" applyFill="1" applyAlignment="1">
      <alignment wrapText="1"/>
    </xf>
    <xf numFmtId="0" fontId="28" fillId="42" borderId="0" xfId="0" applyFont="1" applyFill="1" applyAlignment="1">
      <alignment wrapText="1"/>
    </xf>
    <xf numFmtId="0" fontId="0" fillId="43" borderId="0" xfId="0" applyFill="1" applyAlignment="1">
      <alignment wrapText="1"/>
    </xf>
    <xf numFmtId="0" fontId="29" fillId="0" borderId="0" xfId="0" applyFont="1" applyAlignment="1">
      <alignment horizontal="center" wrapText="1"/>
    </xf>
    <xf numFmtId="3" fontId="0" fillId="0" borderId="0" xfId="0" applyNumberFormat="1" applyAlignment="1">
      <alignment wrapText="1"/>
    </xf>
    <xf numFmtId="164" fontId="30" fillId="0" borderId="0" xfId="0" applyNumberFormat="1" applyFont="1" applyAlignment="1">
      <alignment wrapText="1"/>
    </xf>
    <xf numFmtId="0" fontId="31" fillId="44" borderId="23" xfId="0" applyFont="1" applyFill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9" fontId="0" fillId="0" borderId="15" xfId="0" applyNumberFormat="1" applyBorder="1" applyAlignment="1">
      <alignment wrapText="1"/>
    </xf>
    <xf numFmtId="166" fontId="0" fillId="0" borderId="0" xfId="15" applyNumberFormat="1" applyFont="1" applyAlignment="1">
      <alignment wrapText="1"/>
    </xf>
    <xf numFmtId="166" fontId="2" fillId="0" borderId="4" xfId="0" applyNumberFormat="1" applyFont="1" applyBorder="1" applyAlignment="1">
      <alignment wrapText="1"/>
    </xf>
    <xf numFmtId="164" fontId="10" fillId="0" borderId="23" xfId="0" applyNumberFormat="1" applyFont="1" applyBorder="1" applyAlignment="1">
      <alignment wrapText="1"/>
    </xf>
    <xf numFmtId="44" fontId="0" fillId="0" borderId="0" xfId="15" applyFont="1" applyAlignment="1">
      <alignment wrapText="1"/>
    </xf>
    <xf numFmtId="167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9" fontId="0" fillId="0" borderId="0" xfId="84" applyFont="1" applyAlignment="1">
      <alignment wrapText="1"/>
    </xf>
    <xf numFmtId="164" fontId="5" fillId="8" borderId="0" xfId="0" applyNumberFormat="1" applyFont="1" applyFill="1" applyAlignment="1">
      <alignment wrapText="1"/>
    </xf>
    <xf numFmtId="164" fontId="27" fillId="40" borderId="0" xfId="0" applyNumberFormat="1" applyFont="1" applyFill="1" applyAlignment="1">
      <alignment horizontal="center" wrapText="1"/>
    </xf>
    <xf numFmtId="0" fontId="0" fillId="14" borderId="0" xfId="0" applyFill="1" applyAlignment="1">
      <alignment wrapText="1"/>
    </xf>
    <xf numFmtId="0" fontId="3" fillId="6" borderId="0" xfId="0" applyFont="1" applyFill="1" applyAlignment="1">
      <alignment wrapText="1"/>
    </xf>
    <xf numFmtId="164" fontId="18" fillId="24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5" fillId="36" borderId="0" xfId="0" applyFont="1" applyFill="1" applyAlignment="1">
      <alignment wrapText="1"/>
    </xf>
    <xf numFmtId="164" fontId="0" fillId="27" borderId="21" xfId="0" applyNumberFormat="1" applyFill="1" applyBorder="1" applyAlignment="1">
      <alignment wrapText="1"/>
    </xf>
    <xf numFmtId="164" fontId="26" fillId="38" borderId="23" xfId="0" applyNumberFormat="1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1" fillId="0" borderId="0" xfId="0" applyFont="1" applyAlignment="1">
      <alignment wrapText="1"/>
    </xf>
    <xf numFmtId="0" fontId="1" fillId="21" borderId="0" xfId="0" applyFont="1" applyFill="1" applyAlignment="1">
      <alignment horizont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35" fillId="0" borderId="0" xfId="0" applyFont="1" applyAlignment="1">
      <alignment wrapText="1"/>
    </xf>
    <xf numFmtId="166" fontId="36" fillId="0" borderId="4" xfId="0" applyNumberFormat="1" applyFont="1" applyBorder="1" applyAlignment="1">
      <alignment wrapText="1"/>
    </xf>
    <xf numFmtId="0" fontId="35" fillId="21" borderId="0" xfId="0" applyFont="1" applyFill="1" applyAlignment="1">
      <alignment horizontal="center" wrapText="1"/>
    </xf>
    <xf numFmtId="164" fontId="35" fillId="19" borderId="0" xfId="0" applyNumberFormat="1" applyFont="1" applyFill="1" applyAlignment="1">
      <alignment horizontal="center" wrapText="1"/>
    </xf>
    <xf numFmtId="164" fontId="0" fillId="0" borderId="21" xfId="0" applyNumberFormat="1" applyBorder="1" applyAlignment="1">
      <alignment wrapText="1"/>
    </xf>
    <xf numFmtId="0" fontId="35" fillId="0" borderId="0" xfId="0" applyFont="1" applyAlignment="1">
      <alignment horizontal="center" wrapText="1"/>
    </xf>
    <xf numFmtId="0" fontId="35" fillId="6" borderId="0" xfId="0" applyFont="1" applyFill="1" applyAlignment="1">
      <alignment wrapText="1"/>
    </xf>
    <xf numFmtId="164" fontId="1" fillId="40" borderId="0" xfId="0" applyNumberFormat="1" applyFont="1" applyFill="1" applyAlignment="1">
      <alignment horizontal="center" wrapText="1"/>
    </xf>
    <xf numFmtId="166" fontId="36" fillId="0" borderId="0" xfId="0" applyNumberFormat="1" applyFont="1" applyBorder="1" applyAlignment="1">
      <alignment wrapText="1"/>
    </xf>
    <xf numFmtId="168" fontId="0" fillId="20" borderId="0" xfId="0" applyNumberFormat="1" applyFill="1" applyAlignment="1">
      <alignment wrapText="1"/>
    </xf>
    <xf numFmtId="42" fontId="0" fillId="20" borderId="0" xfId="15" applyNumberFormat="1" applyFont="1" applyFill="1" applyAlignment="1">
      <alignment wrapText="1"/>
    </xf>
    <xf numFmtId="42" fontId="0" fillId="0" borderId="0" xfId="15" applyNumberFormat="1" applyFont="1" applyAlignment="1">
      <alignment wrapText="1"/>
    </xf>
    <xf numFmtId="0" fontId="17" fillId="21" borderId="0" xfId="0" applyFont="1" applyFill="1" applyAlignment="1">
      <alignment wrapText="1"/>
    </xf>
    <xf numFmtId="0" fontId="36" fillId="0" borderId="0" xfId="0" applyFont="1" applyAlignment="1">
      <alignment wrapText="1"/>
    </xf>
    <xf numFmtId="0" fontId="35" fillId="25" borderId="0" xfId="0" applyFont="1" applyFill="1" applyAlignment="1">
      <alignment horizontal="center" wrapText="1"/>
    </xf>
    <xf numFmtId="166" fontId="35" fillId="25" borderId="0" xfId="15" applyNumberFormat="1" applyFont="1" applyFill="1" applyAlignment="1">
      <alignment horizontal="center" wrapText="1"/>
    </xf>
    <xf numFmtId="0" fontId="15" fillId="18" borderId="0" xfId="0" applyFont="1" applyFill="1" applyAlignment="1">
      <alignment horizontal="center" wrapText="1"/>
    </xf>
    <xf numFmtId="44" fontId="26" fillId="38" borderId="22" xfId="0" applyNumberFormat="1" applyFont="1" applyFill="1" applyBorder="1" applyAlignment="1">
      <alignment wrapText="1"/>
    </xf>
    <xf numFmtId="44" fontId="26" fillId="38" borderId="23" xfId="0" applyNumberFormat="1" applyFont="1" applyFill="1" applyBorder="1" applyAlignment="1">
      <alignment wrapText="1"/>
    </xf>
    <xf numFmtId="44" fontId="0" fillId="20" borderId="0" xfId="0" applyNumberFormat="1" applyFill="1" applyAlignment="1">
      <alignment wrapText="1"/>
    </xf>
    <xf numFmtId="44" fontId="0" fillId="27" borderId="19" xfId="0" applyNumberFormat="1" applyFill="1" applyBorder="1" applyAlignment="1">
      <alignment wrapText="1"/>
    </xf>
    <xf numFmtId="44" fontId="0" fillId="23" borderId="0" xfId="0" applyNumberFormat="1" applyFill="1" applyAlignment="1">
      <alignment wrapText="1"/>
    </xf>
    <xf numFmtId="44" fontId="0" fillId="26" borderId="18" xfId="0" applyNumberFormat="1" applyFill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23" fillId="32" borderId="20" xfId="0" applyFont="1" applyFill="1" applyBorder="1" applyAlignment="1">
      <alignment wrapText="1"/>
    </xf>
    <xf numFmtId="164" fontId="0" fillId="0" borderId="12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23" xfId="0" applyBorder="1" applyAlignment="1">
      <alignment wrapText="1"/>
    </xf>
    <xf numFmtId="164" fontId="0" fillId="0" borderId="23" xfId="0" applyNumberFormat="1" applyBorder="1" applyAlignment="1">
      <alignment wrapText="1"/>
    </xf>
    <xf numFmtId="3" fontId="0" fillId="0" borderId="16" xfId="0" applyNumberFormat="1" applyBorder="1" applyAlignment="1">
      <alignment wrapText="1"/>
    </xf>
    <xf numFmtId="164" fontId="11" fillId="12" borderId="0" xfId="0" applyNumberFormat="1" applyFont="1" applyFill="1" applyAlignment="1">
      <alignment horizontal="center" vertical="center" wrapText="1"/>
    </xf>
    <xf numFmtId="3" fontId="13" fillId="16" borderId="0" xfId="0" applyNumberFormat="1" applyFont="1" applyFill="1" applyAlignment="1">
      <alignment wrapText="1"/>
    </xf>
    <xf numFmtId="0" fontId="0" fillId="14" borderId="0" xfId="0" applyFill="1" applyAlignment="1">
      <alignment wrapText="1"/>
    </xf>
    <xf numFmtId="0" fontId="3" fillId="6" borderId="0" xfId="0" applyFont="1" applyFill="1" applyAlignment="1">
      <alignment wrapText="1"/>
    </xf>
    <xf numFmtId="164" fontId="18" fillId="24" borderId="0" xfId="0" applyNumberFormat="1" applyFont="1" applyFill="1" applyAlignment="1">
      <alignment wrapText="1"/>
    </xf>
    <xf numFmtId="0" fontId="20" fillId="25" borderId="0" xfId="0" applyFont="1" applyFill="1" applyAlignment="1">
      <alignment horizontal="center" wrapText="1"/>
    </xf>
    <xf numFmtId="164" fontId="27" fillId="40" borderId="0" xfId="0" applyNumberFormat="1" applyFont="1" applyFill="1" applyAlignment="1">
      <alignment horizontal="center" wrapText="1"/>
    </xf>
    <xf numFmtId="3" fontId="4" fillId="7" borderId="0" xfId="0" applyNumberFormat="1" applyFont="1" applyFill="1" applyAlignment="1">
      <alignment horizontal="center" wrapText="1"/>
    </xf>
    <xf numFmtId="0" fontId="25" fillId="36" borderId="0" xfId="0" applyFont="1" applyFill="1" applyAlignment="1">
      <alignment wrapText="1"/>
    </xf>
    <xf numFmtId="164" fontId="5" fillId="8" borderId="0" xfId="0" applyNumberFormat="1" applyFont="1" applyFill="1" applyAlignment="1">
      <alignment wrapText="1"/>
    </xf>
    <xf numFmtId="0" fontId="1" fillId="6" borderId="0" xfId="0" applyFont="1" applyFill="1" applyAlignment="1">
      <alignment wrapText="1"/>
    </xf>
    <xf numFmtId="0" fontId="35" fillId="25" borderId="0" xfId="0" applyFont="1" applyFill="1" applyAlignment="1">
      <alignment horizontal="center" wrapText="1"/>
    </xf>
  </cellXfs>
  <cellStyles count="95">
    <cellStyle name="Currency" xfId="1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  <cellStyle name="Percent" xfId="84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9"/>
  <sheetViews>
    <sheetView tabSelected="1" view="pageLayout" zoomScaleNormal="100" workbookViewId="0">
      <selection activeCell="A70" sqref="A70"/>
    </sheetView>
  </sheetViews>
  <sheetFormatPr defaultColWidth="17.140625" defaultRowHeight="12.75" customHeight="1" x14ac:dyDescent="0.2"/>
  <cols>
    <col min="1" max="1" width="30.28515625" customWidth="1"/>
    <col min="2" max="2" width="9" customWidth="1"/>
    <col min="3" max="3" width="11.140625" customWidth="1"/>
    <col min="4" max="4" width="11.7109375" customWidth="1"/>
    <col min="5" max="5" width="16" customWidth="1"/>
    <col min="6" max="6" width="0.7109375" customWidth="1"/>
    <col min="7" max="7" width="15.7109375" customWidth="1"/>
    <col min="8" max="8" width="21.28515625" hidden="1" customWidth="1"/>
    <col min="9" max="9" width="17.42578125" style="78" customWidth="1"/>
    <col min="10" max="10" width="8.7109375" customWidth="1"/>
    <col min="11" max="11" width="15" customWidth="1"/>
    <col min="12" max="12" width="13.85546875" style="78" customWidth="1"/>
    <col min="13" max="13" width="5.5703125" hidden="1" customWidth="1"/>
    <col min="14" max="14" width="21.85546875" style="78" customWidth="1"/>
    <col min="15" max="15" width="16.7109375" hidden="1" customWidth="1"/>
    <col min="16" max="16" width="10.7109375" hidden="1" customWidth="1"/>
    <col min="17" max="17" width="14.7109375" hidden="1" customWidth="1"/>
    <col min="18" max="18" width="20.85546875" style="78" hidden="1" customWidth="1"/>
    <col min="19" max="19" width="10.42578125" hidden="1" customWidth="1"/>
    <col min="20" max="20" width="17.28515625" hidden="1" customWidth="1"/>
    <col min="21" max="21" width="13.42578125" hidden="1" customWidth="1"/>
    <col min="22" max="22" width="0" hidden="1" customWidth="1"/>
    <col min="23" max="23" width="2.7109375" hidden="1" customWidth="1"/>
  </cols>
  <sheetData>
    <row r="1" spans="1:23" ht="12.75" customHeight="1" x14ac:dyDescent="0.2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  <c r="N1" s="133"/>
      <c r="O1" s="132"/>
      <c r="P1" s="132"/>
      <c r="Q1" s="133"/>
      <c r="R1" s="133"/>
      <c r="S1" s="132"/>
      <c r="T1" s="132"/>
      <c r="U1" s="132"/>
      <c r="V1" s="132"/>
      <c r="W1" s="132"/>
    </row>
    <row r="2" spans="1:23" ht="12.75" customHeight="1" x14ac:dyDescent="0.2">
      <c r="M2" s="5"/>
      <c r="N2" s="79"/>
      <c r="Q2" s="5"/>
      <c r="R2" s="79"/>
    </row>
    <row r="3" spans="1:23" ht="26.25" customHeight="1" x14ac:dyDescent="0.2">
      <c r="I3" s="38" t="s">
        <v>1</v>
      </c>
      <c r="J3" s="47">
        <v>0.7</v>
      </c>
      <c r="M3" s="5"/>
      <c r="N3" s="79"/>
      <c r="O3" s="38" t="s">
        <v>2</v>
      </c>
      <c r="P3" s="47">
        <v>0.7</v>
      </c>
      <c r="Q3" s="5"/>
      <c r="R3" s="79"/>
    </row>
    <row r="4" spans="1:23" ht="12.75" customHeight="1" x14ac:dyDescent="0.2">
      <c r="M4" s="5"/>
      <c r="N4" s="79"/>
      <c r="Q4" s="5"/>
      <c r="R4" s="79"/>
    </row>
    <row r="5" spans="1:23" ht="12.75" customHeight="1" x14ac:dyDescent="0.2">
      <c r="A5" s="98" t="s">
        <v>70</v>
      </c>
      <c r="B5" s="37"/>
      <c r="C5" s="7"/>
      <c r="D5" s="7"/>
      <c r="E5" s="7"/>
      <c r="F5" s="7"/>
      <c r="G5" s="129" t="s">
        <v>3</v>
      </c>
      <c r="H5" s="129"/>
      <c r="I5" s="129"/>
      <c r="J5" s="129"/>
      <c r="K5" s="129"/>
      <c r="L5" s="129"/>
      <c r="M5" s="130"/>
      <c r="N5" s="99" t="s">
        <v>5</v>
      </c>
      <c r="O5" s="129" t="s">
        <v>4</v>
      </c>
      <c r="P5" s="129"/>
      <c r="Q5" s="130"/>
      <c r="R5" s="130"/>
      <c r="S5" s="129"/>
      <c r="T5" s="129" t="s">
        <v>5</v>
      </c>
      <c r="U5" s="131"/>
      <c r="V5" s="7"/>
      <c r="W5" s="7"/>
    </row>
    <row r="6" spans="1:23" ht="30" customHeight="1" x14ac:dyDescent="0.2">
      <c r="A6" s="20"/>
      <c r="B6" s="104" t="s">
        <v>6</v>
      </c>
      <c r="C6" s="31" t="s">
        <v>7</v>
      </c>
      <c r="D6" s="31" t="s">
        <v>8</v>
      </c>
      <c r="E6" s="12" t="s">
        <v>9</v>
      </c>
      <c r="F6" s="31"/>
      <c r="G6" s="31" t="s">
        <v>10</v>
      </c>
      <c r="H6" s="31" t="s">
        <v>11</v>
      </c>
      <c r="I6" s="88" t="s">
        <v>72</v>
      </c>
      <c r="J6" s="43" t="s">
        <v>12</v>
      </c>
      <c r="K6" s="26" t="s">
        <v>13</v>
      </c>
      <c r="L6" s="97" t="s">
        <v>83</v>
      </c>
      <c r="M6" s="104" t="s">
        <v>14</v>
      </c>
      <c r="N6" s="97" t="s">
        <v>74</v>
      </c>
      <c r="O6" s="31" t="s">
        <v>15</v>
      </c>
      <c r="P6" s="43" t="s">
        <v>12</v>
      </c>
      <c r="Q6" s="95" t="s">
        <v>13</v>
      </c>
      <c r="R6" s="97" t="s">
        <v>69</v>
      </c>
      <c r="S6" s="31" t="s">
        <v>14</v>
      </c>
      <c r="T6" s="26" t="s">
        <v>16</v>
      </c>
      <c r="U6" s="31" t="s">
        <v>17</v>
      </c>
      <c r="V6" s="57" t="s">
        <v>18</v>
      </c>
      <c r="W6" s="87" t="s">
        <v>18</v>
      </c>
    </row>
    <row r="7" spans="1:23" ht="12.75" customHeight="1" x14ac:dyDescent="0.2">
      <c r="A7" s="56" t="s">
        <v>19</v>
      </c>
      <c r="B7" s="56">
        <v>1.2</v>
      </c>
      <c r="C7" s="35">
        <v>500</v>
      </c>
      <c r="D7" s="35">
        <v>20</v>
      </c>
      <c r="E7" s="41">
        <v>4</v>
      </c>
      <c r="F7" s="17"/>
      <c r="G7" s="30">
        <f t="shared" ref="G7:G13" si="0">SUM(C7:D7)</f>
        <v>520</v>
      </c>
      <c r="H7" s="30">
        <f t="shared" ref="H7:H13" si="1">(B7*G7)/E7</f>
        <v>156</v>
      </c>
      <c r="I7" s="30">
        <f>B7*G7</f>
        <v>624</v>
      </c>
      <c r="J7" s="14">
        <f>J3</f>
        <v>0.7</v>
      </c>
      <c r="K7" s="101">
        <f t="shared" ref="K7:K13" si="2">I7*J7</f>
        <v>436.79999999999995</v>
      </c>
      <c r="L7" s="14">
        <f>1-B63</f>
        <v>0.57000000000000006</v>
      </c>
      <c r="M7" s="30">
        <f t="shared" ref="M7:M13" si="3">H7-K7</f>
        <v>-280.79999999999995</v>
      </c>
      <c r="N7" s="101">
        <f t="shared" ref="N7:N13" si="4">K7*B$43*(L7)</f>
        <v>622440000.00000012</v>
      </c>
      <c r="O7" s="35">
        <f>50*B7</f>
        <v>60</v>
      </c>
      <c r="P7" s="14">
        <f>P3</f>
        <v>0.7</v>
      </c>
      <c r="Q7" s="50">
        <f t="shared" ref="Q7:Q13" si="5">O7*P7</f>
        <v>42</v>
      </c>
      <c r="R7" s="64">
        <f t="shared" ref="R7:R13" si="6">Q7*B$43*(1-L7)</f>
        <v>45149999.999999993</v>
      </c>
      <c r="S7" s="30">
        <f t="shared" ref="S7:S13" si="7">O7-Q7</f>
        <v>18</v>
      </c>
      <c r="T7" s="30">
        <f t="shared" ref="T7:T13" si="8">(J7*H7)+(P7*O7)</f>
        <v>151.19999999999999</v>
      </c>
      <c r="U7" s="30">
        <f t="shared" ref="U7:U13" si="9">M7+S7</f>
        <v>-262.79999999999995</v>
      </c>
      <c r="V7" s="5">
        <f t="shared" ref="V7:V14" si="10">T7+U7</f>
        <v>-111.59999999999997</v>
      </c>
      <c r="W7" s="67">
        <f t="shared" ref="W7:W13" si="11">(K7+Q7)*B$43</f>
        <v>1197000000</v>
      </c>
    </row>
    <row r="8" spans="1:23" ht="12.75" customHeight="1" x14ac:dyDescent="0.2">
      <c r="A8" s="56" t="s">
        <v>20</v>
      </c>
      <c r="B8" s="56">
        <v>1.2</v>
      </c>
      <c r="C8" s="35">
        <v>100</v>
      </c>
      <c r="D8" s="35">
        <v>0</v>
      </c>
      <c r="E8" s="41">
        <v>4</v>
      </c>
      <c r="F8" s="17"/>
      <c r="G8" s="30">
        <f t="shared" si="0"/>
        <v>100</v>
      </c>
      <c r="H8" s="30">
        <f t="shared" si="1"/>
        <v>30</v>
      </c>
      <c r="I8" s="30">
        <f t="shared" ref="I8:I13" si="12">B8*G8</f>
        <v>120</v>
      </c>
      <c r="J8" s="14">
        <f>J3</f>
        <v>0.7</v>
      </c>
      <c r="K8" s="101">
        <f t="shared" si="2"/>
        <v>84</v>
      </c>
      <c r="L8" s="14">
        <f>1-B63</f>
        <v>0.57000000000000006</v>
      </c>
      <c r="M8" s="30">
        <f t="shared" si="3"/>
        <v>-54</v>
      </c>
      <c r="N8" s="101">
        <f t="shared" si="4"/>
        <v>119700000.00000001</v>
      </c>
      <c r="O8" s="35">
        <f>H8*0.1</f>
        <v>3</v>
      </c>
      <c r="P8" s="14">
        <f>P3</f>
        <v>0.7</v>
      </c>
      <c r="Q8" s="50">
        <f t="shared" si="5"/>
        <v>2.0999999999999996</v>
      </c>
      <c r="R8" s="64">
        <f t="shared" si="6"/>
        <v>2257499.9999999991</v>
      </c>
      <c r="S8" s="30">
        <f t="shared" si="7"/>
        <v>0.90000000000000036</v>
      </c>
      <c r="T8" s="30">
        <f t="shared" si="8"/>
        <v>23.1</v>
      </c>
      <c r="U8" s="30">
        <f t="shared" si="9"/>
        <v>-53.1</v>
      </c>
      <c r="V8" s="5">
        <f t="shared" si="10"/>
        <v>-30</v>
      </c>
      <c r="W8" s="67">
        <f t="shared" si="11"/>
        <v>215250000</v>
      </c>
    </row>
    <row r="9" spans="1:23" ht="12.75" customHeight="1" x14ac:dyDescent="0.2">
      <c r="A9" s="56" t="s">
        <v>21</v>
      </c>
      <c r="B9" s="56">
        <v>6</v>
      </c>
      <c r="C9" s="35">
        <v>15</v>
      </c>
      <c r="D9" s="35">
        <v>200</v>
      </c>
      <c r="E9" s="41">
        <v>12</v>
      </c>
      <c r="F9" s="17"/>
      <c r="G9" s="30">
        <f t="shared" si="0"/>
        <v>215</v>
      </c>
      <c r="H9" s="30">
        <f t="shared" si="1"/>
        <v>107.5</v>
      </c>
      <c r="I9" s="30">
        <f t="shared" si="12"/>
        <v>1290</v>
      </c>
      <c r="J9" s="14">
        <f>J3</f>
        <v>0.7</v>
      </c>
      <c r="K9" s="101">
        <f t="shared" si="2"/>
        <v>902.99999999999989</v>
      </c>
      <c r="L9" s="14">
        <f>1-B65</f>
        <v>0.19999999999999996</v>
      </c>
      <c r="M9" s="30">
        <f t="shared" si="3"/>
        <v>-795.49999999999989</v>
      </c>
      <c r="N9" s="101">
        <f t="shared" si="4"/>
        <v>451499999.99999982</v>
      </c>
      <c r="O9" s="35">
        <f>H9*0.1</f>
        <v>10.75</v>
      </c>
      <c r="P9" s="14">
        <f>P3</f>
        <v>0.7</v>
      </c>
      <c r="Q9" s="50">
        <f t="shared" si="5"/>
        <v>7.5249999999999995</v>
      </c>
      <c r="R9" s="64">
        <f t="shared" si="6"/>
        <v>15050000</v>
      </c>
      <c r="S9" s="30">
        <f t="shared" si="7"/>
        <v>3.2250000000000005</v>
      </c>
      <c r="T9" s="30">
        <f t="shared" si="8"/>
        <v>82.775000000000006</v>
      </c>
      <c r="U9" s="30">
        <f t="shared" si="9"/>
        <v>-792.27499999999986</v>
      </c>
      <c r="V9" s="5">
        <f t="shared" si="10"/>
        <v>-709.49999999999989</v>
      </c>
      <c r="W9" s="67">
        <f t="shared" si="11"/>
        <v>2276312499.9999995</v>
      </c>
    </row>
    <row r="10" spans="1:23" ht="12.75" customHeight="1" x14ac:dyDescent="0.2">
      <c r="A10" s="56" t="s">
        <v>22</v>
      </c>
      <c r="B10" s="56">
        <v>6</v>
      </c>
      <c r="C10" s="35">
        <v>73</v>
      </c>
      <c r="D10" s="35">
        <v>0</v>
      </c>
      <c r="E10" s="41">
        <v>6</v>
      </c>
      <c r="F10" s="17"/>
      <c r="G10" s="30">
        <f t="shared" si="0"/>
        <v>73</v>
      </c>
      <c r="H10" s="30">
        <f t="shared" si="1"/>
        <v>73</v>
      </c>
      <c r="I10" s="30">
        <f t="shared" si="12"/>
        <v>438</v>
      </c>
      <c r="J10" s="14">
        <f>J3</f>
        <v>0.7</v>
      </c>
      <c r="K10" s="101">
        <f t="shared" si="2"/>
        <v>306.59999999999997</v>
      </c>
      <c r="L10" s="14">
        <f>1-B64</f>
        <v>0.4</v>
      </c>
      <c r="M10" s="30">
        <f t="shared" si="3"/>
        <v>-233.59999999999997</v>
      </c>
      <c r="N10" s="101">
        <f t="shared" si="4"/>
        <v>306599999.99999994</v>
      </c>
      <c r="O10" s="35">
        <f>H10*0.1</f>
        <v>7.3000000000000007</v>
      </c>
      <c r="P10" s="14">
        <f>P3</f>
        <v>0.7</v>
      </c>
      <c r="Q10" s="50">
        <f t="shared" si="5"/>
        <v>5.1100000000000003</v>
      </c>
      <c r="R10" s="64">
        <f t="shared" si="6"/>
        <v>7665000</v>
      </c>
      <c r="S10" s="30">
        <f t="shared" si="7"/>
        <v>2.1900000000000004</v>
      </c>
      <c r="T10" s="30">
        <f t="shared" si="8"/>
        <v>56.209999999999994</v>
      </c>
      <c r="U10" s="30">
        <f t="shared" si="9"/>
        <v>-231.40999999999997</v>
      </c>
      <c r="V10" s="5">
        <f t="shared" si="10"/>
        <v>-175.2</v>
      </c>
      <c r="W10" s="67">
        <f t="shared" si="11"/>
        <v>779275000</v>
      </c>
    </row>
    <row r="11" spans="1:23" ht="12.75" customHeight="1" x14ac:dyDescent="0.2">
      <c r="A11" s="56" t="s">
        <v>23</v>
      </c>
      <c r="B11" s="34">
        <v>0.1</v>
      </c>
      <c r="C11" s="35">
        <v>2000</v>
      </c>
      <c r="D11" s="35">
        <v>8000</v>
      </c>
      <c r="E11" s="41">
        <v>16</v>
      </c>
      <c r="F11" s="17"/>
      <c r="G11" s="30">
        <f t="shared" si="0"/>
        <v>10000</v>
      </c>
      <c r="H11" s="30">
        <f t="shared" si="1"/>
        <v>62.5</v>
      </c>
      <c r="I11" s="30">
        <f t="shared" si="12"/>
        <v>1000</v>
      </c>
      <c r="J11" s="14">
        <f>J3</f>
        <v>0.7</v>
      </c>
      <c r="K11" s="101">
        <f t="shared" si="2"/>
        <v>700</v>
      </c>
      <c r="L11" s="14">
        <f>1-B66</f>
        <v>0.26</v>
      </c>
      <c r="M11" s="30">
        <f t="shared" si="3"/>
        <v>-637.5</v>
      </c>
      <c r="N11" s="101">
        <f t="shared" si="4"/>
        <v>455000000</v>
      </c>
      <c r="O11" s="35">
        <v>10</v>
      </c>
      <c r="P11" s="14">
        <f>P3</f>
        <v>0.7</v>
      </c>
      <c r="Q11" s="50">
        <f t="shared" si="5"/>
        <v>7</v>
      </c>
      <c r="R11" s="64">
        <f t="shared" si="6"/>
        <v>12950000</v>
      </c>
      <c r="S11" s="30">
        <f t="shared" si="7"/>
        <v>3</v>
      </c>
      <c r="T11" s="30">
        <f t="shared" si="8"/>
        <v>50.75</v>
      </c>
      <c r="U11" s="30">
        <f t="shared" si="9"/>
        <v>-634.5</v>
      </c>
      <c r="V11" s="5">
        <f t="shared" si="10"/>
        <v>-583.75</v>
      </c>
      <c r="W11" s="67">
        <f t="shared" si="11"/>
        <v>1767500000</v>
      </c>
    </row>
    <row r="12" spans="1:23" ht="12.75" customHeight="1" x14ac:dyDescent="0.2">
      <c r="A12" s="56" t="s">
        <v>24</v>
      </c>
      <c r="B12" s="56">
        <v>0.1</v>
      </c>
      <c r="C12" s="35">
        <v>300</v>
      </c>
      <c r="D12" s="35">
        <v>0</v>
      </c>
      <c r="E12" s="41">
        <v>4</v>
      </c>
      <c r="F12" s="17"/>
      <c r="G12" s="30">
        <f t="shared" si="0"/>
        <v>300</v>
      </c>
      <c r="H12" s="30">
        <f t="shared" si="1"/>
        <v>7.5</v>
      </c>
      <c r="I12" s="30">
        <f t="shared" si="12"/>
        <v>30</v>
      </c>
      <c r="J12" s="14">
        <f>J3</f>
        <v>0.7</v>
      </c>
      <c r="K12" s="101">
        <f t="shared" si="2"/>
        <v>21</v>
      </c>
      <c r="L12" s="14">
        <f>1-B65</f>
        <v>0.19999999999999996</v>
      </c>
      <c r="M12" s="30">
        <f t="shared" si="3"/>
        <v>-13.5</v>
      </c>
      <c r="N12" s="101">
        <f t="shared" si="4"/>
        <v>10499999.999999998</v>
      </c>
      <c r="O12" s="35">
        <f>H12*0.1</f>
        <v>0.75</v>
      </c>
      <c r="P12" s="14">
        <f>P3</f>
        <v>0.7</v>
      </c>
      <c r="Q12" s="50">
        <f t="shared" si="5"/>
        <v>0.52499999999999991</v>
      </c>
      <c r="R12" s="64">
        <f t="shared" si="6"/>
        <v>1049999.9999999998</v>
      </c>
      <c r="S12" s="30">
        <f t="shared" si="7"/>
        <v>0.22500000000000009</v>
      </c>
      <c r="T12" s="30">
        <f t="shared" si="8"/>
        <v>5.7750000000000004</v>
      </c>
      <c r="U12" s="30">
        <f t="shared" si="9"/>
        <v>-13.275</v>
      </c>
      <c r="V12" s="5">
        <f t="shared" si="10"/>
        <v>-7.5</v>
      </c>
      <c r="W12" s="67">
        <f t="shared" si="11"/>
        <v>53812500</v>
      </c>
    </row>
    <row r="13" spans="1:23" ht="12.75" customHeight="1" x14ac:dyDescent="0.2">
      <c r="A13" s="46" t="s">
        <v>25</v>
      </c>
      <c r="B13" s="46">
        <f>1/10</f>
        <v>0.1</v>
      </c>
      <c r="C13" s="39">
        <v>2000</v>
      </c>
      <c r="D13" s="39">
        <v>200</v>
      </c>
      <c r="E13" s="13">
        <v>12</v>
      </c>
      <c r="F13" s="1"/>
      <c r="G13" s="40">
        <f t="shared" si="0"/>
        <v>2200</v>
      </c>
      <c r="H13" s="40">
        <f t="shared" si="1"/>
        <v>18.333333333333332</v>
      </c>
      <c r="I13" s="30">
        <f t="shared" si="12"/>
        <v>220</v>
      </c>
      <c r="J13" s="18">
        <f>J3</f>
        <v>0.7</v>
      </c>
      <c r="K13" s="101">
        <f t="shared" si="2"/>
        <v>154</v>
      </c>
      <c r="L13" s="18">
        <f>1-B65</f>
        <v>0.19999999999999996</v>
      </c>
      <c r="M13" s="40">
        <f t="shared" si="3"/>
        <v>-135.66666666666666</v>
      </c>
      <c r="N13" s="101">
        <f t="shared" si="4"/>
        <v>76999999.999999985</v>
      </c>
      <c r="O13" s="39">
        <f>H13*0.05</f>
        <v>0.91666666666666663</v>
      </c>
      <c r="P13" s="18">
        <f>P3</f>
        <v>0.7</v>
      </c>
      <c r="Q13" s="3">
        <f t="shared" si="5"/>
        <v>0.64166666666666661</v>
      </c>
      <c r="R13" s="64">
        <f t="shared" si="6"/>
        <v>1283333.3333333333</v>
      </c>
      <c r="S13" s="40">
        <f t="shared" si="7"/>
        <v>0.27500000000000002</v>
      </c>
      <c r="T13" s="40">
        <f t="shared" si="8"/>
        <v>13.474999999999998</v>
      </c>
      <c r="U13" s="40">
        <f t="shared" si="9"/>
        <v>-135.39166666666665</v>
      </c>
      <c r="V13" s="32">
        <f t="shared" si="10"/>
        <v>-121.91666666666666</v>
      </c>
      <c r="W13" s="67">
        <f t="shared" si="11"/>
        <v>386604166.66666669</v>
      </c>
    </row>
    <row r="14" spans="1:23" ht="12.75" customHeight="1" x14ac:dyDescent="0.2">
      <c r="A14" s="6" t="s">
        <v>18</v>
      </c>
      <c r="B14" s="6"/>
      <c r="C14" s="15"/>
      <c r="D14" s="15"/>
      <c r="E14" s="4"/>
      <c r="F14" s="60"/>
      <c r="G14" s="51"/>
      <c r="H14" s="51">
        <f>SUM(H7:H13)</f>
        <v>454.83333333333331</v>
      </c>
      <c r="I14" s="51">
        <f>SUM(I7:I13)</f>
        <v>3722</v>
      </c>
      <c r="J14" s="60"/>
      <c r="K14" s="51">
        <f>SUM(K7:K13)</f>
        <v>2605.3999999999996</v>
      </c>
      <c r="L14" s="85"/>
      <c r="M14" s="51">
        <f>SUM(M7:M13)</f>
        <v>-2150.5666666666662</v>
      </c>
      <c r="N14" s="85">
        <f>SUM(N7:N13)</f>
        <v>2042740000</v>
      </c>
      <c r="O14" s="51">
        <f>SUM(O7:O13)</f>
        <v>92.716666666666669</v>
      </c>
      <c r="P14" s="51"/>
      <c r="Q14" s="51">
        <f>SUM(Q7:Q13)</f>
        <v>64.901666666666671</v>
      </c>
      <c r="R14" s="85"/>
      <c r="S14" s="51">
        <f>SUM(S7:S13)</f>
        <v>27.815000000000001</v>
      </c>
      <c r="T14" s="51">
        <f>SUM(T7:T13)</f>
        <v>383.28499999999997</v>
      </c>
      <c r="U14" s="51">
        <f>SUM(U7:U13)</f>
        <v>-2122.7516666666661</v>
      </c>
      <c r="V14" s="15">
        <f t="shared" si="10"/>
        <v>-1739.4666666666662</v>
      </c>
      <c r="W14" s="65">
        <f>SUM(W7:W13)</f>
        <v>6675754166.666667</v>
      </c>
    </row>
    <row r="15" spans="1:23" ht="12.75" customHeight="1" x14ac:dyDescent="0.2">
      <c r="C15" s="5"/>
      <c r="D15" s="5"/>
      <c r="E15" s="5"/>
      <c r="F15" s="5"/>
      <c r="G15" s="30"/>
      <c r="H15" s="17"/>
      <c r="I15" s="75"/>
      <c r="J15" s="17"/>
      <c r="K15" s="30"/>
      <c r="L15" s="30"/>
      <c r="M15" s="17"/>
      <c r="N15" s="75"/>
      <c r="O15" s="30"/>
      <c r="P15" s="30"/>
      <c r="Q15" s="30"/>
      <c r="R15" s="30"/>
      <c r="S15" s="30"/>
      <c r="T15" s="30"/>
      <c r="U15" s="17"/>
    </row>
    <row r="16" spans="1:23" ht="12.75" customHeight="1" x14ac:dyDescent="0.2">
      <c r="A16" s="98" t="s">
        <v>71</v>
      </c>
      <c r="B16" s="7"/>
      <c r="C16" s="37"/>
      <c r="D16" s="37"/>
      <c r="E16" s="37"/>
      <c r="F16" s="7"/>
      <c r="G16" s="129" t="s">
        <v>3</v>
      </c>
      <c r="H16" s="129"/>
      <c r="I16" s="129"/>
      <c r="J16" s="129"/>
      <c r="K16" s="129"/>
      <c r="L16" s="129"/>
      <c r="M16" s="130"/>
      <c r="N16" s="99" t="s">
        <v>5</v>
      </c>
      <c r="O16" s="129" t="s">
        <v>4</v>
      </c>
      <c r="P16" s="129"/>
      <c r="Q16" s="130"/>
      <c r="R16" s="130"/>
      <c r="S16" s="129"/>
      <c r="T16" s="129" t="s">
        <v>5</v>
      </c>
      <c r="U16" s="131"/>
      <c r="V16" s="7"/>
      <c r="W16" s="7"/>
    </row>
    <row r="17" spans="1:23" ht="27.75" customHeight="1" x14ac:dyDescent="0.2">
      <c r="A17" s="20"/>
      <c r="B17" s="31" t="s">
        <v>6</v>
      </c>
      <c r="C17" s="31" t="s">
        <v>7</v>
      </c>
      <c r="D17" s="31" t="s">
        <v>8</v>
      </c>
      <c r="E17" s="12" t="s">
        <v>9</v>
      </c>
      <c r="F17" s="108"/>
      <c r="G17" s="31" t="s">
        <v>10</v>
      </c>
      <c r="H17" s="31" t="s">
        <v>11</v>
      </c>
      <c r="I17" s="88" t="s">
        <v>73</v>
      </c>
      <c r="J17" s="43" t="s">
        <v>12</v>
      </c>
      <c r="K17" s="26" t="s">
        <v>13</v>
      </c>
      <c r="L17" s="97" t="s">
        <v>83</v>
      </c>
      <c r="M17" s="31" t="s">
        <v>14</v>
      </c>
      <c r="N17" s="97" t="s">
        <v>74</v>
      </c>
      <c r="O17" s="31" t="s">
        <v>15</v>
      </c>
      <c r="P17" s="43" t="s">
        <v>12</v>
      </c>
      <c r="Q17" s="26" t="s">
        <v>13</v>
      </c>
      <c r="R17" s="94" t="s">
        <v>69</v>
      </c>
      <c r="S17" s="31" t="s">
        <v>14</v>
      </c>
      <c r="T17" s="26" t="s">
        <v>16</v>
      </c>
      <c r="U17" s="31" t="s">
        <v>17</v>
      </c>
      <c r="V17" s="57" t="s">
        <v>18</v>
      </c>
      <c r="W17" s="20"/>
    </row>
    <row r="18" spans="1:23" ht="12.75" customHeight="1" x14ac:dyDescent="0.2">
      <c r="A18" s="56" t="s">
        <v>26</v>
      </c>
      <c r="B18" s="56">
        <v>1</v>
      </c>
      <c r="C18" s="113">
        <v>12120</v>
      </c>
      <c r="D18" s="113">
        <v>0</v>
      </c>
      <c r="E18" s="41">
        <v>6</v>
      </c>
      <c r="F18" s="17"/>
      <c r="G18" s="111">
        <f>SUM(C18:D18)</f>
        <v>12120</v>
      </c>
      <c r="H18" s="30">
        <f>(B18*G18)/E18</f>
        <v>2020</v>
      </c>
      <c r="I18" s="111">
        <f t="shared" ref="I18:I22" si="13">B18*G18</f>
        <v>12120</v>
      </c>
      <c r="J18" s="14">
        <f>J3</f>
        <v>0.7</v>
      </c>
      <c r="K18" s="102">
        <f>I18*J18</f>
        <v>8484</v>
      </c>
      <c r="L18" s="14">
        <f>1-B64</f>
        <v>0.4</v>
      </c>
      <c r="M18" s="30">
        <f>H18-K18</f>
        <v>-6464</v>
      </c>
      <c r="N18" s="102">
        <f>K18*B$44*(L18)</f>
        <v>339360000</v>
      </c>
      <c r="O18" s="35">
        <f>G18*0.1</f>
        <v>1212</v>
      </c>
      <c r="P18" s="14">
        <f>P3</f>
        <v>0.7</v>
      </c>
      <c r="Q18" s="30">
        <f>O18*P18</f>
        <v>848.4</v>
      </c>
      <c r="R18" s="64">
        <f>Q18*B$44*(1-L18)</f>
        <v>50904000</v>
      </c>
      <c r="S18" s="30">
        <f>O18-Q18</f>
        <v>363.6</v>
      </c>
      <c r="T18" s="30">
        <f>(J18*H18)+(P18*O18)</f>
        <v>2262.4</v>
      </c>
      <c r="U18" s="30">
        <f>M18+S18</f>
        <v>-6100.4</v>
      </c>
      <c r="V18" s="5">
        <f t="shared" ref="V18:V23" si="14">T18+U18</f>
        <v>-3837.9999999999995</v>
      </c>
    </row>
    <row r="19" spans="1:23" ht="12.75" customHeight="1" x14ac:dyDescent="0.2">
      <c r="A19" s="56" t="s">
        <v>27</v>
      </c>
      <c r="B19" s="56">
        <v>4</v>
      </c>
      <c r="C19" s="113">
        <v>500</v>
      </c>
      <c r="D19" s="113">
        <v>20</v>
      </c>
      <c r="E19" s="41">
        <v>4</v>
      </c>
      <c r="F19" s="17"/>
      <c r="G19" s="111">
        <f>SUM(C19:D19)</f>
        <v>520</v>
      </c>
      <c r="H19" s="30">
        <f>(B19*G19)/E19</f>
        <v>520</v>
      </c>
      <c r="I19" s="111">
        <f t="shared" si="13"/>
        <v>2080</v>
      </c>
      <c r="J19" s="14">
        <f>J3</f>
        <v>0.7</v>
      </c>
      <c r="K19" s="102">
        <f>I19*J19</f>
        <v>1456</v>
      </c>
      <c r="L19" s="14">
        <f>1-B63</f>
        <v>0.57000000000000006</v>
      </c>
      <c r="M19" s="30">
        <f>H19-K19</f>
        <v>-936</v>
      </c>
      <c r="N19" s="102">
        <f>K19*B$44*(L19)</f>
        <v>82992000.000000015</v>
      </c>
      <c r="O19" s="35">
        <f>50*B19</f>
        <v>200</v>
      </c>
      <c r="P19" s="14">
        <f>P3</f>
        <v>0.7</v>
      </c>
      <c r="Q19" s="30">
        <f>O19*P19</f>
        <v>140</v>
      </c>
      <c r="R19" s="64">
        <f>Q19*B$44*(1-L19)</f>
        <v>6019999.9999999991</v>
      </c>
      <c r="S19" s="30">
        <f>O19-Q19</f>
        <v>60</v>
      </c>
      <c r="T19" s="30">
        <f>(J19*H19)+(P19*O19)</f>
        <v>504</v>
      </c>
      <c r="U19" s="30">
        <f>M19+S19</f>
        <v>-876</v>
      </c>
      <c r="V19" s="5">
        <f t="shared" si="14"/>
        <v>-372</v>
      </c>
    </row>
    <row r="20" spans="1:23" ht="12.75" customHeight="1" x14ac:dyDescent="0.2">
      <c r="A20" s="56" t="s">
        <v>28</v>
      </c>
      <c r="B20" s="56">
        <v>1</v>
      </c>
      <c r="C20" s="113">
        <v>0</v>
      </c>
      <c r="D20" s="113">
        <v>3200</v>
      </c>
      <c r="E20" s="41">
        <v>4</v>
      </c>
      <c r="F20" s="17"/>
      <c r="G20" s="111">
        <f>SUM(C20:D20)</f>
        <v>3200</v>
      </c>
      <c r="H20" s="30">
        <f>(B20*G20)/E20</f>
        <v>800</v>
      </c>
      <c r="I20" s="111">
        <f t="shared" si="13"/>
        <v>3200</v>
      </c>
      <c r="J20" s="14">
        <f>J3</f>
        <v>0.7</v>
      </c>
      <c r="K20" s="102">
        <f>I20*J20</f>
        <v>2240</v>
      </c>
      <c r="L20" s="14">
        <f>1-B63</f>
        <v>0.57000000000000006</v>
      </c>
      <c r="M20" s="30">
        <f>H20-K20</f>
        <v>-1440</v>
      </c>
      <c r="N20" s="102">
        <f>K20*B$44*(L20)</f>
        <v>127680000.00000001</v>
      </c>
      <c r="O20" s="35">
        <v>0</v>
      </c>
      <c r="P20" s="14">
        <f>P3</f>
        <v>0.7</v>
      </c>
      <c r="Q20" s="30">
        <f>O20*P20</f>
        <v>0</v>
      </c>
      <c r="R20" s="64">
        <f>Q20*B$44*(1-L20)</f>
        <v>0</v>
      </c>
      <c r="S20" s="30">
        <f>O20-Q20</f>
        <v>0</v>
      </c>
      <c r="T20" s="30">
        <f>(J20*H20)+(P20*O20)</f>
        <v>560</v>
      </c>
      <c r="U20" s="30">
        <f>M20+S20</f>
        <v>-1440</v>
      </c>
      <c r="V20" s="5">
        <f t="shared" si="14"/>
        <v>-880</v>
      </c>
    </row>
    <row r="21" spans="1:23" ht="12.75" customHeight="1" x14ac:dyDescent="0.2">
      <c r="A21" s="56" t="s">
        <v>24</v>
      </c>
      <c r="B21" s="56">
        <v>1</v>
      </c>
      <c r="C21" s="113">
        <v>1400</v>
      </c>
      <c r="D21" s="113">
        <v>0</v>
      </c>
      <c r="E21" s="41">
        <v>4</v>
      </c>
      <c r="F21" s="17"/>
      <c r="G21" s="111">
        <f>SUM(C21:D21)</f>
        <v>1400</v>
      </c>
      <c r="H21" s="30">
        <f>(B21*G21)/E21</f>
        <v>350</v>
      </c>
      <c r="I21" s="111">
        <f t="shared" si="13"/>
        <v>1400</v>
      </c>
      <c r="J21" s="14">
        <f>J3</f>
        <v>0.7</v>
      </c>
      <c r="K21" s="102">
        <f>I21*J21</f>
        <v>979.99999999999989</v>
      </c>
      <c r="L21" s="14">
        <f>1-B65</f>
        <v>0.19999999999999996</v>
      </c>
      <c r="M21" s="30">
        <f>H21-K21</f>
        <v>-629.99999999999989</v>
      </c>
      <c r="N21" s="102">
        <f>K21*B$44*(L21)</f>
        <v>19599999.999999993</v>
      </c>
      <c r="O21" s="35">
        <v>0</v>
      </c>
      <c r="P21" s="14">
        <f>P3</f>
        <v>0.7</v>
      </c>
      <c r="Q21" s="30">
        <f>O21*P21</f>
        <v>0</v>
      </c>
      <c r="R21" s="64">
        <f>Q21*B$44*(1-L21)</f>
        <v>0</v>
      </c>
      <c r="S21" s="30">
        <f>O21-Q21</f>
        <v>0</v>
      </c>
      <c r="T21" s="30">
        <f>(J21*H21)+(P21*O21)</f>
        <v>244.99999999999997</v>
      </c>
      <c r="U21" s="30">
        <f>M21+S21</f>
        <v>-629.99999999999989</v>
      </c>
      <c r="V21" s="5">
        <f t="shared" si="14"/>
        <v>-384.99999999999989</v>
      </c>
    </row>
    <row r="22" spans="1:23" ht="12.75" customHeight="1" x14ac:dyDescent="0.2">
      <c r="A22" s="46" t="s">
        <v>29</v>
      </c>
      <c r="B22" s="46">
        <v>1</v>
      </c>
      <c r="C22" s="114">
        <v>4000</v>
      </c>
      <c r="D22" s="114">
        <v>200</v>
      </c>
      <c r="E22" s="13">
        <v>12</v>
      </c>
      <c r="F22" s="1"/>
      <c r="G22" s="112">
        <f>SUM(C22:D22)</f>
        <v>4200</v>
      </c>
      <c r="H22" s="40">
        <f>(B22*G22)/E22</f>
        <v>350</v>
      </c>
      <c r="I22" s="111">
        <f t="shared" si="13"/>
        <v>4200</v>
      </c>
      <c r="J22" s="18">
        <f>J3</f>
        <v>0.7</v>
      </c>
      <c r="K22" s="102">
        <f>I22*J22</f>
        <v>2940</v>
      </c>
      <c r="L22" s="18">
        <f>1-B65</f>
        <v>0.19999999999999996</v>
      </c>
      <c r="M22" s="40">
        <f>H22-K22</f>
        <v>-2590</v>
      </c>
      <c r="N22" s="102">
        <f>K22*B$44*(L22)</f>
        <v>58799999.999999985</v>
      </c>
      <c r="O22" s="39">
        <v>100</v>
      </c>
      <c r="P22" s="18">
        <f>P3</f>
        <v>0.7</v>
      </c>
      <c r="Q22" s="40">
        <f>O22*P22</f>
        <v>70</v>
      </c>
      <c r="R22" s="64">
        <f>Q22*B$44*(1-L22)</f>
        <v>5600000</v>
      </c>
      <c r="S22" s="40">
        <f>O22-Q22</f>
        <v>30</v>
      </c>
      <c r="T22" s="40">
        <f>(J22*H22)+(P22*O22)</f>
        <v>315</v>
      </c>
      <c r="U22" s="40">
        <f>M22+S22</f>
        <v>-2560</v>
      </c>
      <c r="V22" s="32">
        <f t="shared" si="14"/>
        <v>-2245</v>
      </c>
      <c r="W22" s="28"/>
    </row>
    <row r="23" spans="1:23" ht="12.75" customHeight="1" x14ac:dyDescent="0.2">
      <c r="A23" s="6" t="s">
        <v>18</v>
      </c>
      <c r="B23" s="19"/>
      <c r="C23" s="19"/>
      <c r="D23" s="19"/>
      <c r="E23" s="60"/>
      <c r="F23" s="60"/>
      <c r="G23" s="51"/>
      <c r="H23" s="51">
        <f>SUM(H18:H22)</f>
        <v>4040</v>
      </c>
      <c r="I23" s="109">
        <f>SUM(I18:I22)</f>
        <v>23000</v>
      </c>
      <c r="J23" s="60"/>
      <c r="K23" s="109">
        <f>SUM(K18:K22)</f>
        <v>16100</v>
      </c>
      <c r="L23" s="85"/>
      <c r="M23" s="51">
        <f>SUM(M18:M22)</f>
        <v>-12060</v>
      </c>
      <c r="N23" s="110">
        <f>SUM(N18:N22)</f>
        <v>628432000</v>
      </c>
      <c r="O23" s="51">
        <f>SUM(O18:O22)</f>
        <v>1512</v>
      </c>
      <c r="P23" s="51"/>
      <c r="Q23" s="51">
        <f>SUM(Q18:Q22)</f>
        <v>1058.4000000000001</v>
      </c>
      <c r="R23" s="85"/>
      <c r="S23" s="51">
        <f>SUM(S18:S22)</f>
        <v>453.6</v>
      </c>
      <c r="T23" s="51">
        <f>SUM(T18:T22)</f>
        <v>3886.4</v>
      </c>
      <c r="U23" s="51">
        <f>SUM(U18:U22)</f>
        <v>-11606.4</v>
      </c>
      <c r="V23" s="15">
        <f t="shared" si="14"/>
        <v>-7720</v>
      </c>
      <c r="W23" s="19"/>
    </row>
    <row r="24" spans="1:23" ht="12.75" customHeight="1" x14ac:dyDescent="0.2">
      <c r="B24" s="5"/>
      <c r="J24" s="5"/>
      <c r="M24" s="5"/>
      <c r="N24" s="79"/>
      <c r="O24" s="5"/>
      <c r="P24" s="5"/>
      <c r="Q24" s="5"/>
      <c r="R24" s="79"/>
      <c r="S24" s="5"/>
      <c r="U24" s="58"/>
    </row>
    <row r="25" spans="1:23" ht="12.75" customHeight="1" x14ac:dyDescent="0.2">
      <c r="A25" s="98" t="s">
        <v>17</v>
      </c>
      <c r="B25" s="37"/>
      <c r="C25" s="7"/>
      <c r="D25" s="7"/>
      <c r="E25" s="7"/>
      <c r="F25" s="7"/>
      <c r="G25" s="7"/>
      <c r="H25" s="7"/>
      <c r="I25" s="76"/>
      <c r="J25" s="37"/>
      <c r="K25" s="7"/>
      <c r="L25" s="76"/>
      <c r="M25" s="37"/>
      <c r="N25" s="77"/>
      <c r="O25" s="37"/>
      <c r="P25" s="37"/>
      <c r="Q25" s="37"/>
      <c r="R25" s="77"/>
      <c r="S25" s="37"/>
      <c r="T25" s="7"/>
      <c r="U25" s="16"/>
      <c r="V25" s="55"/>
      <c r="W25" s="55"/>
    </row>
    <row r="26" spans="1:23" ht="12.75" customHeight="1" x14ac:dyDescent="0.2">
      <c r="A26" s="20"/>
      <c r="B26" s="31" t="s">
        <v>6</v>
      </c>
      <c r="C26" s="31" t="s">
        <v>7</v>
      </c>
      <c r="D26" s="31" t="s">
        <v>8</v>
      </c>
      <c r="E26" s="12" t="s">
        <v>9</v>
      </c>
      <c r="F26" s="25"/>
      <c r="G26" s="31" t="s">
        <v>10</v>
      </c>
      <c r="H26" s="31" t="s">
        <v>11</v>
      </c>
      <c r="I26" s="31"/>
      <c r="J26" s="43" t="s">
        <v>12</v>
      </c>
      <c r="K26" s="26" t="s">
        <v>13</v>
      </c>
      <c r="L26" s="26"/>
      <c r="M26" s="31" t="s">
        <v>14</v>
      </c>
      <c r="N26" s="31"/>
      <c r="O26" s="31" t="s">
        <v>15</v>
      </c>
      <c r="P26" s="43" t="s">
        <v>12</v>
      </c>
      <c r="Q26" s="26" t="s">
        <v>13</v>
      </c>
      <c r="R26" s="26"/>
      <c r="S26" s="31" t="s">
        <v>14</v>
      </c>
      <c r="T26" s="26" t="s">
        <v>16</v>
      </c>
      <c r="U26" s="31" t="s">
        <v>17</v>
      </c>
      <c r="V26" s="20"/>
      <c r="W26" s="20"/>
    </row>
    <row r="27" spans="1:23" ht="12.75" customHeight="1" x14ac:dyDescent="0.2">
      <c r="A27" s="17" t="s">
        <v>30</v>
      </c>
      <c r="B27" s="124" t="s">
        <v>31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5"/>
      <c r="U27" s="125"/>
      <c r="V27" s="126"/>
      <c r="W27" s="17"/>
    </row>
    <row r="28" spans="1:23" ht="12.75" customHeight="1" x14ac:dyDescent="0.2">
      <c r="A28" s="17" t="s">
        <v>32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5"/>
      <c r="U28" s="125"/>
      <c r="V28" s="126"/>
      <c r="W28" s="17"/>
    </row>
    <row r="29" spans="1:23" ht="12.75" customHeight="1" x14ac:dyDescent="0.2">
      <c r="A29" s="17" t="s">
        <v>33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5"/>
      <c r="U29" s="125"/>
      <c r="V29" s="126"/>
      <c r="W29" s="17"/>
    </row>
    <row r="30" spans="1:23" ht="12.75" customHeight="1" x14ac:dyDescent="0.2">
      <c r="A30" s="17" t="s">
        <v>86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5"/>
      <c r="U30" s="125"/>
      <c r="V30" s="126"/>
      <c r="W30" s="17"/>
    </row>
    <row r="31" spans="1:23" ht="12.75" customHeight="1" x14ac:dyDescent="0.2">
      <c r="A31" s="17" t="s">
        <v>34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5"/>
      <c r="U31" s="125"/>
      <c r="V31" s="126"/>
      <c r="W31" s="17"/>
    </row>
    <row r="32" spans="1:23" ht="12.75" customHeight="1" x14ac:dyDescent="0.2">
      <c r="A32" s="17"/>
      <c r="B32" s="30"/>
      <c r="C32" s="30"/>
      <c r="D32" s="30"/>
      <c r="E32" s="17"/>
      <c r="F32" s="17"/>
      <c r="G32" s="17"/>
      <c r="H32" s="17"/>
      <c r="I32" s="75"/>
      <c r="J32" s="30"/>
      <c r="K32" s="14"/>
      <c r="L32" s="14"/>
      <c r="M32" s="30"/>
      <c r="N32" s="30"/>
      <c r="O32" s="30"/>
      <c r="P32" s="14"/>
      <c r="Q32" s="30"/>
      <c r="R32" s="30"/>
      <c r="S32" s="30"/>
      <c r="T32" s="17"/>
      <c r="U32" s="45"/>
    </row>
    <row r="33" spans="1:23" ht="12.75" customHeight="1" x14ac:dyDescent="0.2">
      <c r="A33" s="49" t="s">
        <v>35</v>
      </c>
      <c r="B33" s="8"/>
      <c r="C33" s="49"/>
      <c r="D33" s="49"/>
      <c r="E33" s="49"/>
      <c r="F33" s="49"/>
      <c r="G33" s="83"/>
      <c r="H33" s="83"/>
      <c r="I33" s="83"/>
      <c r="J33" s="83"/>
      <c r="K33" s="83"/>
      <c r="L33" s="83"/>
      <c r="M33" s="8"/>
      <c r="N33" s="73"/>
      <c r="O33" s="8"/>
      <c r="P33" s="8"/>
      <c r="Q33" s="8"/>
      <c r="R33" s="73"/>
      <c r="S33" s="8"/>
      <c r="T33" s="49"/>
      <c r="U33" s="44"/>
      <c r="V33" s="54"/>
      <c r="W33" s="54"/>
    </row>
    <row r="34" spans="1:23" ht="12.75" hidden="1" customHeight="1" x14ac:dyDescent="0.2">
      <c r="B34" s="5"/>
      <c r="J34" s="5"/>
      <c r="M34" s="5"/>
      <c r="N34" s="79"/>
      <c r="O34" s="5"/>
      <c r="P34" s="5"/>
      <c r="Q34" s="5"/>
      <c r="R34" s="79"/>
      <c r="S34" s="5"/>
      <c r="U34" s="58"/>
    </row>
    <row r="35" spans="1:23" ht="12.75" hidden="1" customHeight="1" x14ac:dyDescent="0.2">
      <c r="A35" s="127" t="s">
        <v>36</v>
      </c>
      <c r="B35" s="128"/>
      <c r="C35" s="127"/>
      <c r="D35" s="127"/>
      <c r="E35" s="127"/>
      <c r="F35" s="7"/>
      <c r="G35" s="129" t="s">
        <v>3</v>
      </c>
      <c r="H35" s="129"/>
      <c r="I35" s="129"/>
      <c r="J35" s="129"/>
      <c r="K35" s="129"/>
      <c r="L35" s="129"/>
      <c r="M35" s="130"/>
      <c r="N35" s="74"/>
      <c r="O35" s="129" t="s">
        <v>4</v>
      </c>
      <c r="P35" s="129"/>
      <c r="Q35" s="130"/>
      <c r="R35" s="130"/>
      <c r="S35" s="129"/>
      <c r="T35" s="129" t="s">
        <v>5</v>
      </c>
      <c r="U35" s="131"/>
      <c r="V35" s="7"/>
      <c r="W35" s="7"/>
    </row>
    <row r="36" spans="1:23" ht="12.75" hidden="1" customHeight="1" x14ac:dyDescent="0.2">
      <c r="B36" s="57" t="s">
        <v>6</v>
      </c>
      <c r="H36" s="31" t="s">
        <v>11</v>
      </c>
      <c r="I36" s="31"/>
      <c r="K36" s="26" t="s">
        <v>13</v>
      </c>
      <c r="L36" s="26"/>
      <c r="M36" s="31" t="s">
        <v>14</v>
      </c>
      <c r="N36" s="31"/>
      <c r="O36" s="31" t="s">
        <v>37</v>
      </c>
      <c r="Q36" s="26" t="s">
        <v>13</v>
      </c>
      <c r="R36" s="26"/>
      <c r="S36" s="31" t="s">
        <v>14</v>
      </c>
      <c r="T36" s="26" t="s">
        <v>16</v>
      </c>
      <c r="U36" s="31" t="s">
        <v>17</v>
      </c>
      <c r="V36" s="57" t="s">
        <v>18</v>
      </c>
    </row>
    <row r="37" spans="1:23" ht="12.75" hidden="1" customHeight="1" x14ac:dyDescent="0.2">
      <c r="A37" t="s">
        <v>38</v>
      </c>
      <c r="B37" s="52">
        <v>206</v>
      </c>
      <c r="H37" s="30">
        <f>$B37*H14</f>
        <v>93695.666666666657</v>
      </c>
      <c r="I37" s="30"/>
      <c r="K37" s="30">
        <f>K14*B37</f>
        <v>536712.39999999991</v>
      </c>
      <c r="L37" s="30"/>
      <c r="M37" s="30">
        <f>M14*B37</f>
        <v>-443016.73333333322</v>
      </c>
      <c r="N37" s="30"/>
      <c r="O37" s="30">
        <f>$B37*O14</f>
        <v>19099.633333333335</v>
      </c>
      <c r="Q37" s="30">
        <f>Q14*B37</f>
        <v>13369.743333333334</v>
      </c>
      <c r="R37" s="30"/>
      <c r="S37" s="30">
        <f>S14*B37</f>
        <v>5729.89</v>
      </c>
      <c r="T37" s="30">
        <f>K37+Q37</f>
        <v>550082.1433333332</v>
      </c>
      <c r="U37" s="30">
        <f>M37+S37</f>
        <v>-437286.84333333321</v>
      </c>
      <c r="V37" s="5">
        <f>T37+U37</f>
        <v>112795.29999999999</v>
      </c>
      <c r="W37" s="5"/>
    </row>
    <row r="38" spans="1:23" ht="37.5" hidden="1" customHeight="1" x14ac:dyDescent="0.2">
      <c r="A38" t="s">
        <v>39</v>
      </c>
      <c r="B38" s="52">
        <v>9</v>
      </c>
      <c r="H38" s="30">
        <f>$B38*H23</f>
        <v>36360</v>
      </c>
      <c r="I38" s="30"/>
      <c r="K38" s="30">
        <f>K23*B38</f>
        <v>144900</v>
      </c>
      <c r="L38" s="30"/>
      <c r="M38" s="30">
        <f>M23*B38</f>
        <v>-108540</v>
      </c>
      <c r="N38" s="30"/>
      <c r="O38" s="30">
        <f>$B38*O23</f>
        <v>13608</v>
      </c>
      <c r="Q38" s="30">
        <f>Q23*B38</f>
        <v>9525.6</v>
      </c>
      <c r="R38" s="30"/>
      <c r="S38" s="30">
        <f>S23*B38</f>
        <v>4082.4</v>
      </c>
      <c r="T38" s="30">
        <f>K38+Q38</f>
        <v>154425.60000000001</v>
      </c>
      <c r="U38" s="30">
        <f>M38+S38</f>
        <v>-104457.60000000001</v>
      </c>
      <c r="V38" s="5">
        <f>T38+U38</f>
        <v>49968</v>
      </c>
      <c r="W38" s="5"/>
    </row>
    <row r="39" spans="1:23" ht="29.25" hidden="1" customHeight="1" x14ac:dyDescent="0.2">
      <c r="A39" s="28" t="s">
        <v>17</v>
      </c>
      <c r="B39" s="22">
        <v>1</v>
      </c>
      <c r="C39" s="28"/>
      <c r="D39" s="28"/>
      <c r="E39" s="28"/>
      <c r="F39" s="28"/>
      <c r="G39" s="28"/>
      <c r="H39" s="40">
        <f>IF((B38=1),( $B39*'Base Case District Level'!H5), IF((B38&lt;=5),( $B39*'Base Case District Level'!H13), IF((B38&lt;=15),( $B39*'Base Case District Level'!H21), IF((B38&lt;=50),( $B39*'Base Case District Level'!H30),( $B39*'Base Case District Level'!H39)))))</f>
        <v>7500.0000000000009</v>
      </c>
      <c r="I39" s="84"/>
      <c r="J39" s="28"/>
      <c r="K39" s="40">
        <f>IF((B38=1),( $B39*'Base Case District Level'!K5), IF((B38&lt;=5),( $B39*'Base Case District Level'!K13), IF((B38&lt;=15),( $B39*'Base Case District Level'!K21), IF((B38&lt;=50),( $B39*'Base Case District Level'!K30),( $B39*'Base Case District Level'!K39)))))</f>
        <v>26250</v>
      </c>
      <c r="L39" s="84"/>
      <c r="M39" s="40">
        <f>IF((B38=1),( $B39*'Base Case District Level'!N5), IF((B38&lt;=5),( $B39*'Base Case District Level'!N13), IF((B38&lt;=15),( $B39*'Base Case District Level'!N21), IF((B38&lt;=50),( $B39*'Base Case District Level'!N30),( $B39*'Base Case District Level'!N39)))))</f>
        <v>-18750</v>
      </c>
      <c r="N39" s="84"/>
      <c r="O39" s="40">
        <f>IF((B38=1),( $B39*'Base Case District Level'!P5), IF((B38&lt;=5),( $B39*'Base Case District Level'!P13), IF((B38&lt;=15),( $B39*'Base Case District Level'!P21), IF((B38&lt;=50),( $B39*'Base Case District Level'!P30),( $B39*'Base Case District Level'!P39)))))</f>
        <v>7875</v>
      </c>
      <c r="P39" s="28"/>
      <c r="Q39" s="40">
        <f>IF((B38=1),( $B39*'Base Case District Level'!R5), IF((B38&lt;=5),( $B39*'Base Case District Level'!R13), IF((B38&lt;=15),( $B39*'Base Case District Level'!R21), IF((B38&lt;=50),( $B39*'Base Case District Level'!R30),( $B39*'Base Case District Level'!R39)))))</f>
        <v>5512.5</v>
      </c>
      <c r="R39" s="84"/>
      <c r="S39" s="40">
        <f>IF((B38=1),( $B39*'Base Case District Level'!S5), IF((B38&lt;=5),( $B39*'Base Case District Level'!S13), IF((B38&lt;=15),( $B39*'Base Case District Level'!S21), IF((B38&lt;=50),( $B39*'Base Case District Level'!S30),( $B39*'Base Case District Level'!S39)))))</f>
        <v>2362.5</v>
      </c>
      <c r="T39" s="40">
        <f>K39+Q39</f>
        <v>31762.5</v>
      </c>
      <c r="U39" s="40">
        <f>M39+S39</f>
        <v>-16387.5</v>
      </c>
      <c r="V39" s="32">
        <f>T39+U39</f>
        <v>15375</v>
      </c>
      <c r="W39" s="32"/>
    </row>
    <row r="40" spans="1:23" ht="45.75" hidden="1" customHeight="1" x14ac:dyDescent="0.2">
      <c r="A40" s="6" t="s">
        <v>40</v>
      </c>
      <c r="B40" s="6"/>
      <c r="C40" s="19"/>
      <c r="D40" s="19"/>
      <c r="E40" s="19"/>
      <c r="F40" s="19"/>
      <c r="G40" s="19"/>
      <c r="H40" s="51">
        <f>SUM(H37:H39)</f>
        <v>137555.66666666666</v>
      </c>
      <c r="I40" s="85"/>
      <c r="J40" s="19"/>
      <c r="K40" s="51">
        <f>SUM(K37:K39)</f>
        <v>707862.39999999991</v>
      </c>
      <c r="L40" s="85"/>
      <c r="M40" s="51">
        <f>SUM(M37:M39)</f>
        <v>-570306.73333333316</v>
      </c>
      <c r="N40" s="85"/>
      <c r="O40" s="51">
        <f>SUM(O37:O39)</f>
        <v>40582.633333333331</v>
      </c>
      <c r="P40" s="19"/>
      <c r="Q40" s="51">
        <f>SUM(Q37:Q39)</f>
        <v>28407.843333333334</v>
      </c>
      <c r="R40" s="85"/>
      <c r="S40" s="51">
        <f>SUM(S37:S39)</f>
        <v>12174.79</v>
      </c>
      <c r="T40" s="51">
        <f>SUM(T37:T39)</f>
        <v>736270.24333333317</v>
      </c>
      <c r="U40" s="51">
        <f>SUM(U37:U39)</f>
        <v>-558131.94333333324</v>
      </c>
      <c r="V40" s="51">
        <f>SUM(V37:V39)</f>
        <v>178138.3</v>
      </c>
      <c r="W40" s="15"/>
    </row>
    <row r="41" spans="1:23" ht="12.75" customHeight="1" x14ac:dyDescent="0.2">
      <c r="G41" s="81"/>
      <c r="H41" s="81"/>
      <c r="I41" s="81"/>
      <c r="J41" s="81"/>
      <c r="K41" s="81"/>
      <c r="L41" s="81"/>
      <c r="O41" s="30"/>
      <c r="P41" s="30"/>
      <c r="T41" s="30"/>
      <c r="U41" s="17"/>
      <c r="V41" s="5"/>
    </row>
    <row r="42" spans="1:23" ht="25.5" customHeight="1" x14ac:dyDescent="0.2">
      <c r="B42" s="57" t="s">
        <v>6</v>
      </c>
      <c r="G42" s="81"/>
      <c r="H42" s="81" t="s">
        <v>11</v>
      </c>
      <c r="I42" s="81"/>
      <c r="J42" s="81"/>
      <c r="K42" s="81"/>
      <c r="L42" s="81"/>
      <c r="M42" s="31" t="s">
        <v>14</v>
      </c>
      <c r="N42" s="97" t="s">
        <v>74</v>
      </c>
      <c r="O42" s="31" t="s">
        <v>37</v>
      </c>
      <c r="Q42" s="26" t="s">
        <v>13</v>
      </c>
      <c r="R42" s="94" t="s">
        <v>69</v>
      </c>
      <c r="S42" s="31" t="s">
        <v>14</v>
      </c>
      <c r="T42" s="26" t="s">
        <v>16</v>
      </c>
      <c r="U42" s="31" t="s">
        <v>17</v>
      </c>
      <c r="V42" s="11" t="s">
        <v>18</v>
      </c>
    </row>
    <row r="43" spans="1:23" ht="12.75" customHeight="1" x14ac:dyDescent="0.2">
      <c r="A43" t="s">
        <v>38</v>
      </c>
      <c r="B43" s="58">
        <v>2500000</v>
      </c>
      <c r="G43" s="81"/>
      <c r="H43" s="81">
        <f>B43*H14</f>
        <v>1137083333.3333333</v>
      </c>
      <c r="I43" s="81"/>
      <c r="J43" s="81"/>
      <c r="K43" s="81"/>
      <c r="L43" s="81"/>
      <c r="M43" s="30">
        <f>H43-K43</f>
        <v>1137083333.3333333</v>
      </c>
      <c r="N43" s="100">
        <f>SUM(N7:N13)</f>
        <v>2042740000</v>
      </c>
      <c r="O43" s="30">
        <f>B43*O14</f>
        <v>231791666.66666666</v>
      </c>
      <c r="Q43" s="30">
        <f>Q14*B43</f>
        <v>162254166.66666669</v>
      </c>
      <c r="R43" s="93">
        <f>SUM(R7:R13)</f>
        <v>85405833.333333328</v>
      </c>
      <c r="S43" s="30">
        <f>S14*B43</f>
        <v>69537500</v>
      </c>
      <c r="T43" s="30">
        <f>K43+Q43</f>
        <v>162254166.66666669</v>
      </c>
      <c r="U43" s="30">
        <f>M43+S43</f>
        <v>1206620833.3333333</v>
      </c>
      <c r="V43" s="5">
        <f>T43+U43</f>
        <v>1368875000</v>
      </c>
      <c r="W43" s="5"/>
    </row>
    <row r="44" spans="1:23" ht="12.75" customHeight="1" x14ac:dyDescent="0.2">
      <c r="A44" t="s">
        <v>39</v>
      </c>
      <c r="B44" s="58">
        <v>100000</v>
      </c>
      <c r="G44" s="81"/>
      <c r="H44" s="81">
        <f>B44*H23</f>
        <v>404000000</v>
      </c>
      <c r="I44" s="81"/>
      <c r="J44" s="81"/>
      <c r="K44" s="81"/>
      <c r="L44" s="81"/>
      <c r="M44" s="30">
        <f>H44-K44</f>
        <v>404000000</v>
      </c>
      <c r="N44" s="100">
        <f>SUM(N18:N22)</f>
        <v>628432000</v>
      </c>
      <c r="O44" s="30">
        <f>B44*O23</f>
        <v>151200000</v>
      </c>
      <c r="Q44" s="30">
        <f>Q23*B44</f>
        <v>105840000.00000001</v>
      </c>
      <c r="R44" s="93">
        <f>SUM(R18:R22)</f>
        <v>62524000</v>
      </c>
      <c r="S44" s="30">
        <f>S23*B44</f>
        <v>45360000</v>
      </c>
      <c r="T44" s="30">
        <f>K44+Q44</f>
        <v>105840000.00000001</v>
      </c>
      <c r="U44" s="30">
        <f>M44+S44</f>
        <v>449360000</v>
      </c>
      <c r="V44" s="5">
        <f>T44+U44</f>
        <v>555200000</v>
      </c>
      <c r="W44" s="5"/>
    </row>
    <row r="45" spans="1:23" ht="12.75" customHeight="1" x14ac:dyDescent="0.2">
      <c r="A45" s="28" t="s">
        <v>41</v>
      </c>
      <c r="B45" s="24">
        <f>SUM('Base Case District Level'!B49)</f>
        <v>16064</v>
      </c>
      <c r="C45" s="28"/>
      <c r="D45" s="28"/>
      <c r="E45" s="28"/>
      <c r="F45" s="28"/>
      <c r="G45" s="81"/>
      <c r="H45" s="81">
        <f>SUM('Base Case District Level'!H43:H47)</f>
        <v>136384833.33333334</v>
      </c>
      <c r="I45" s="81"/>
      <c r="J45" s="81"/>
      <c r="K45" s="81"/>
      <c r="L45" s="81"/>
      <c r="M45" s="40">
        <f>SUM('Base Case District Level'!N43:N47)</f>
        <v>-333842616.66666669</v>
      </c>
      <c r="N45" s="103">
        <f>'Base Case District Level'!M41</f>
        <v>204470700</v>
      </c>
      <c r="O45" s="40">
        <f>SUM('Base Case District Level'!P43:P47)</f>
        <v>144729675</v>
      </c>
      <c r="P45" s="28"/>
      <c r="Q45" s="40">
        <f>SUM('Base Case District Level'!Q43:S47)</f>
        <v>144729675</v>
      </c>
      <c r="R45" s="79">
        <f>'Base Case District Level'!X49</f>
        <v>390087180</v>
      </c>
      <c r="S45" s="1">
        <f>SUM('Base Case District Level'!S43:S47)</f>
        <v>43418902.5</v>
      </c>
      <c r="T45" s="40">
        <f>SUM('Base Case District Level'!U43:U47)</f>
        <v>101310772.5</v>
      </c>
      <c r="U45" s="40">
        <f>SUM('Base Case District Level'!V43:V47)</f>
        <v>-290423714.16666669</v>
      </c>
      <c r="V45" s="32">
        <f>T45+U45</f>
        <v>-189112941.66666669</v>
      </c>
      <c r="W45" s="32"/>
    </row>
    <row r="46" spans="1:23" ht="12.75" customHeight="1" x14ac:dyDescent="0.2">
      <c r="A46" s="6" t="s">
        <v>40</v>
      </c>
      <c r="B46" s="6"/>
      <c r="C46" s="19"/>
      <c r="D46" s="19"/>
      <c r="E46" s="19"/>
      <c r="F46" s="19"/>
      <c r="G46" s="23"/>
      <c r="H46" s="51">
        <f>SUM(H43:H45)</f>
        <v>1677468166.6666665</v>
      </c>
      <c r="I46" s="85"/>
      <c r="J46" s="19"/>
      <c r="K46" s="51"/>
      <c r="L46" s="85"/>
      <c r="M46" s="51">
        <f>SUM(M43:M45)</f>
        <v>1207240716.6666665</v>
      </c>
      <c r="N46" s="109">
        <f>SUM(N43:N45)</f>
        <v>2875642700</v>
      </c>
      <c r="O46" s="51">
        <f>SUM(O43:O45)</f>
        <v>527721341.66666663</v>
      </c>
      <c r="P46" s="19"/>
      <c r="Q46" s="51">
        <f t="shared" ref="Q46:V46" si="15">SUM(Q43:Q45)</f>
        <v>412823841.66666669</v>
      </c>
      <c r="R46" s="51">
        <f t="shared" si="15"/>
        <v>538017013.33333325</v>
      </c>
      <c r="S46" s="51">
        <f t="shared" si="15"/>
        <v>158316402.5</v>
      </c>
      <c r="T46" s="51">
        <f t="shared" si="15"/>
        <v>369404939.16666669</v>
      </c>
      <c r="U46" s="51">
        <f t="shared" si="15"/>
        <v>1365557119.1666665</v>
      </c>
      <c r="V46" s="51">
        <f t="shared" si="15"/>
        <v>1734962058.3333333</v>
      </c>
      <c r="W46" s="15"/>
    </row>
    <row r="47" spans="1:23" ht="12.75" customHeight="1" x14ac:dyDescent="0.2">
      <c r="O47" s="42"/>
      <c r="V47" s="5"/>
    </row>
    <row r="48" spans="1:23" ht="12.75" customHeight="1" x14ac:dyDescent="0.2">
      <c r="B48" s="5"/>
      <c r="M48" s="5"/>
      <c r="N48" s="79"/>
      <c r="Q48" s="5"/>
      <c r="R48" s="79"/>
      <c r="U48" s="58"/>
    </row>
    <row r="49" spans="1:23" s="78" customFormat="1" ht="12.75" customHeight="1" x14ac:dyDescent="0.2">
      <c r="B49" s="79"/>
      <c r="M49" s="79"/>
      <c r="N49" s="79"/>
      <c r="Q49" s="79"/>
      <c r="R49" s="79"/>
      <c r="U49" s="80"/>
    </row>
    <row r="50" spans="1:23" ht="12.75" customHeight="1" x14ac:dyDescent="0.2">
      <c r="A50" s="28"/>
      <c r="B50" s="32"/>
      <c r="C50" s="28"/>
      <c r="D50" s="28"/>
      <c r="E50" s="28"/>
      <c r="F50" s="28"/>
      <c r="G50" s="28"/>
      <c r="H50" s="28"/>
      <c r="I50" s="86"/>
      <c r="J50" s="28"/>
      <c r="K50" s="28"/>
      <c r="L50" s="86"/>
      <c r="M50" s="32"/>
      <c r="N50" s="96"/>
      <c r="O50" s="28"/>
      <c r="P50" s="28"/>
      <c r="Q50" s="32"/>
      <c r="R50" s="96"/>
      <c r="S50" s="28"/>
      <c r="T50" s="28"/>
      <c r="U50" s="24"/>
      <c r="V50" s="28"/>
      <c r="W50" s="28"/>
    </row>
    <row r="51" spans="1:23" s="78" customFormat="1" ht="12.75" hidden="1" customHeight="1" x14ac:dyDescent="0.2">
      <c r="A51" s="89"/>
      <c r="B51" s="90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90"/>
      <c r="N51" s="90"/>
      <c r="O51" s="89"/>
      <c r="P51" s="89"/>
      <c r="Q51" s="90"/>
      <c r="R51" s="90"/>
      <c r="S51" s="89"/>
      <c r="T51" s="89"/>
      <c r="U51" s="91"/>
      <c r="V51" s="89"/>
      <c r="W51" s="89"/>
    </row>
    <row r="52" spans="1:23" ht="12.75" customHeight="1" x14ac:dyDescent="0.2">
      <c r="A52" s="118" t="s">
        <v>42</v>
      </c>
      <c r="B52" s="119"/>
      <c r="C52" s="120"/>
      <c r="D52" s="120"/>
      <c r="E52" s="120"/>
      <c r="F52" s="120"/>
      <c r="G52" s="120"/>
      <c r="H52" s="120"/>
      <c r="I52" s="121"/>
      <c r="J52" s="120"/>
      <c r="K52" s="120"/>
      <c r="L52" s="121"/>
      <c r="M52" s="119"/>
      <c r="N52" s="122"/>
      <c r="O52" s="120"/>
      <c r="P52" s="120"/>
      <c r="Q52" s="119"/>
      <c r="R52" s="122"/>
      <c r="S52" s="120"/>
      <c r="T52" s="120"/>
      <c r="U52" s="123"/>
      <c r="V52" s="120"/>
      <c r="W52" s="120"/>
    </row>
    <row r="53" spans="1:23" ht="12.75" customHeight="1" x14ac:dyDescent="0.2">
      <c r="A53" s="115" t="s">
        <v>43</v>
      </c>
      <c r="B53" s="116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6"/>
      <c r="N53" s="116"/>
      <c r="O53" s="115"/>
      <c r="P53" s="115"/>
      <c r="Q53" s="116"/>
      <c r="R53" s="116"/>
      <c r="S53" s="115"/>
      <c r="T53" s="115"/>
      <c r="U53" s="117"/>
      <c r="V53" s="115"/>
      <c r="W53" s="115"/>
    </row>
    <row r="54" spans="1:23" ht="12.75" customHeight="1" x14ac:dyDescent="0.2">
      <c r="A54" s="115" t="s">
        <v>44</v>
      </c>
      <c r="B54" s="116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6"/>
      <c r="N54" s="116"/>
      <c r="O54" s="115"/>
      <c r="P54" s="115"/>
      <c r="Q54" s="116"/>
      <c r="R54" s="116"/>
      <c r="S54" s="115"/>
      <c r="T54" s="115"/>
      <c r="U54" s="117"/>
      <c r="V54" s="115"/>
      <c r="W54" s="115"/>
    </row>
    <row r="55" spans="1:23" ht="12.75" customHeight="1" x14ac:dyDescent="0.2">
      <c r="A55" s="115" t="s">
        <v>45</v>
      </c>
      <c r="B55" s="116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6"/>
      <c r="N55" s="116"/>
      <c r="O55" s="115"/>
      <c r="P55" s="115"/>
      <c r="Q55" s="116"/>
      <c r="R55" s="116"/>
      <c r="S55" s="115"/>
      <c r="T55" s="115"/>
      <c r="U55" s="117"/>
      <c r="V55" s="115"/>
      <c r="W55" s="115"/>
    </row>
    <row r="56" spans="1:23" ht="12.75" customHeight="1" x14ac:dyDescent="0.2">
      <c r="A56" s="115" t="s">
        <v>90</v>
      </c>
      <c r="B56" s="116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6"/>
      <c r="N56" s="116"/>
      <c r="O56" s="115"/>
      <c r="P56" s="115"/>
      <c r="Q56" s="116"/>
      <c r="R56" s="116"/>
      <c r="S56" s="115"/>
      <c r="T56" s="115"/>
      <c r="U56" s="117"/>
      <c r="V56" s="115"/>
      <c r="W56" s="115"/>
    </row>
    <row r="57" spans="1:23" ht="12.75" customHeight="1" x14ac:dyDescent="0.2">
      <c r="A57" s="115" t="s">
        <v>46</v>
      </c>
      <c r="B57" s="116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6"/>
      <c r="N57" s="116"/>
      <c r="O57" s="115"/>
      <c r="P57" s="115"/>
      <c r="Q57" s="116"/>
      <c r="R57" s="116"/>
      <c r="S57" s="115"/>
      <c r="T57" s="115"/>
      <c r="U57" s="117"/>
      <c r="V57" s="115"/>
      <c r="W57" s="115"/>
    </row>
    <row r="58" spans="1:23" ht="12.75" customHeight="1" x14ac:dyDescent="0.2">
      <c r="A58" s="115" t="s">
        <v>47</v>
      </c>
      <c r="B58" s="116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6"/>
      <c r="N58" s="116"/>
      <c r="O58" s="115"/>
      <c r="P58" s="115"/>
      <c r="Q58" s="116"/>
      <c r="R58" s="116"/>
      <c r="S58" s="115"/>
      <c r="T58" s="115"/>
      <c r="U58" s="117"/>
      <c r="V58" s="115"/>
      <c r="W58" s="115"/>
    </row>
    <row r="59" spans="1:23" ht="12.75" customHeight="1" x14ac:dyDescent="0.2">
      <c r="A59" s="115" t="s">
        <v>87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</row>
    <row r="60" spans="1:23" ht="12.75" customHeight="1" x14ac:dyDescent="0.2">
      <c r="A60" s="115" t="s">
        <v>88</v>
      </c>
      <c r="B60" s="116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6"/>
      <c r="N60" s="116"/>
      <c r="O60" s="115"/>
      <c r="P60" s="115"/>
      <c r="Q60" s="116"/>
      <c r="R60" s="116"/>
      <c r="S60" s="115"/>
      <c r="T60" s="115"/>
      <c r="U60" s="117"/>
      <c r="V60" s="115"/>
      <c r="W60" s="115"/>
    </row>
    <row r="61" spans="1:23" ht="12.75" customHeight="1" x14ac:dyDescent="0.2">
      <c r="B61" s="5"/>
      <c r="M61" s="5"/>
      <c r="N61" s="79"/>
      <c r="Q61" s="5"/>
      <c r="R61" s="79"/>
      <c r="U61" s="58"/>
    </row>
    <row r="62" spans="1:23" ht="12.75" hidden="1" customHeight="1" x14ac:dyDescent="0.2">
      <c r="A62" s="92" t="s">
        <v>85</v>
      </c>
      <c r="D62" s="36"/>
    </row>
    <row r="63" spans="1:23" ht="12.75" hidden="1" customHeight="1" x14ac:dyDescent="0.2">
      <c r="A63" t="s">
        <v>65</v>
      </c>
      <c r="B63" s="72">
        <v>0.43</v>
      </c>
      <c r="M63" s="5"/>
      <c r="N63" s="79"/>
      <c r="Q63" s="5"/>
      <c r="R63" s="79"/>
      <c r="U63" s="58"/>
    </row>
    <row r="64" spans="1:23" ht="12.75" hidden="1" customHeight="1" x14ac:dyDescent="0.2">
      <c r="A64" t="s">
        <v>66</v>
      </c>
      <c r="B64" s="72">
        <v>0.6</v>
      </c>
      <c r="M64" s="5"/>
      <c r="N64" s="79"/>
      <c r="Q64" s="5"/>
      <c r="R64" s="79"/>
      <c r="U64" s="58"/>
    </row>
    <row r="65" spans="1:21" ht="12.75" hidden="1" customHeight="1" x14ac:dyDescent="0.2">
      <c r="A65" t="s">
        <v>67</v>
      </c>
      <c r="B65" s="72">
        <v>0.8</v>
      </c>
      <c r="M65" s="5"/>
      <c r="N65" s="79"/>
      <c r="Q65" s="5"/>
      <c r="R65" s="79"/>
      <c r="U65" s="58"/>
    </row>
    <row r="66" spans="1:21" s="69" customFormat="1" ht="12.75" hidden="1" customHeight="1" x14ac:dyDescent="0.2">
      <c r="A66" s="105" t="s">
        <v>84</v>
      </c>
      <c r="B66" s="72">
        <v>0.74</v>
      </c>
      <c r="I66" s="78"/>
      <c r="L66" s="78"/>
      <c r="M66" s="70"/>
      <c r="N66" s="79"/>
      <c r="Q66" s="70"/>
      <c r="R66" s="79"/>
      <c r="U66" s="71"/>
    </row>
    <row r="67" spans="1:21" ht="12.75" hidden="1" customHeight="1" x14ac:dyDescent="0.2">
      <c r="A67" t="s">
        <v>68</v>
      </c>
      <c r="B67" s="72">
        <v>0.5</v>
      </c>
    </row>
    <row r="69" spans="1:21" ht="12.75" customHeight="1" x14ac:dyDescent="0.2">
      <c r="A69" s="68"/>
    </row>
  </sheetData>
  <mergeCells count="21">
    <mergeCell ref="A1:W1"/>
    <mergeCell ref="G5:M5"/>
    <mergeCell ref="O5:S5"/>
    <mergeCell ref="T5:U5"/>
    <mergeCell ref="G16:M16"/>
    <mergeCell ref="O16:S16"/>
    <mergeCell ref="T16:U16"/>
    <mergeCell ref="A52:W52"/>
    <mergeCell ref="B27:V31"/>
    <mergeCell ref="A35:E35"/>
    <mergeCell ref="G35:M35"/>
    <mergeCell ref="O35:S35"/>
    <mergeCell ref="T35:U35"/>
    <mergeCell ref="A58:W58"/>
    <mergeCell ref="A59:W59"/>
    <mergeCell ref="A60:W60"/>
    <mergeCell ref="A53:W53"/>
    <mergeCell ref="A54:W54"/>
    <mergeCell ref="A55:W55"/>
    <mergeCell ref="A56:W56"/>
    <mergeCell ref="A57:W57"/>
  </mergeCells>
  <printOptions horizontalCentered="1"/>
  <pageMargins left="0.25" right="0.25" top="0.75" bottom="0.75" header="0.3" footer="0.3"/>
  <pageSetup scale="71" orientation="landscape" horizontalDpi="4000" verticalDpi="4000" r:id="rId1"/>
  <headerFooter scaleWithDoc="0" alignWithMargins="0">
    <oddHeader>&amp;C&amp;"Arial,Bold"Exhibit 1&amp;"Arial,Regular": LAN / Wi-Fi ConnectED Cost Model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view="pageLayout" zoomScaleNormal="100" workbookViewId="0">
      <selection activeCell="L2" sqref="L2"/>
    </sheetView>
  </sheetViews>
  <sheetFormatPr defaultColWidth="17.140625" defaultRowHeight="12.75" customHeight="1" x14ac:dyDescent="0.2"/>
  <cols>
    <col min="1" max="1" width="32.140625" customWidth="1"/>
    <col min="2" max="2" width="8.42578125" customWidth="1"/>
    <col min="3" max="3" width="11.140625" customWidth="1"/>
    <col min="4" max="4" width="11.7109375" customWidth="1"/>
    <col min="5" max="5" width="13.7109375" customWidth="1"/>
    <col min="6" max="6" width="1.7109375" customWidth="1"/>
    <col min="7" max="7" width="13.42578125" customWidth="1"/>
    <col min="8" max="8" width="3.28515625" hidden="1" customWidth="1"/>
    <col min="9" max="9" width="17.140625" style="78"/>
    <col min="10" max="10" width="10.85546875" customWidth="1"/>
    <col min="11" max="11" width="13" customWidth="1"/>
    <col min="12" max="12" width="13" style="78" customWidth="1"/>
    <col min="13" max="13" width="17.7109375" style="78" customWidth="1"/>
    <col min="14" max="14" width="20" hidden="1" customWidth="1"/>
    <col min="15" max="15" width="1.7109375" hidden="1" customWidth="1"/>
    <col min="16" max="16" width="0" hidden="1" customWidth="1"/>
    <col min="17" max="17" width="8.7109375" hidden="1" customWidth="1"/>
    <col min="18" max="18" width="13" hidden="1" customWidth="1"/>
    <col min="19" max="19" width="14.28515625" hidden="1" customWidth="1"/>
    <col min="20" max="20" width="13.7109375" hidden="1" customWidth="1"/>
    <col min="21" max="21" width="12.28515625" hidden="1" customWidth="1"/>
    <col min="22" max="23" width="13.42578125" hidden="1" customWidth="1"/>
    <col min="24" max="24" width="20.7109375" style="61" hidden="1" customWidth="1"/>
    <col min="25" max="25" width="19.28515625" hidden="1" customWidth="1"/>
    <col min="26" max="26" width="0" hidden="1" customWidth="1"/>
  </cols>
  <sheetData>
    <row r="1" spans="1:24" x14ac:dyDescent="0.2">
      <c r="A1" s="127" t="s">
        <v>48</v>
      </c>
      <c r="B1" s="127"/>
      <c r="C1" s="127"/>
      <c r="D1" s="127"/>
      <c r="E1" s="12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8"/>
    </row>
    <row r="2" spans="1:24" ht="29.25" customHeight="1" x14ac:dyDescent="0.2">
      <c r="A2" s="33"/>
      <c r="B2" s="31" t="s">
        <v>6</v>
      </c>
      <c r="C2" s="31" t="s">
        <v>7</v>
      </c>
      <c r="D2" s="31" t="s">
        <v>8</v>
      </c>
      <c r="E2" s="12" t="s">
        <v>9</v>
      </c>
      <c r="G2" s="57" t="s">
        <v>10</v>
      </c>
      <c r="H2" s="57" t="s">
        <v>49</v>
      </c>
      <c r="I2" s="97" t="s">
        <v>78</v>
      </c>
      <c r="J2" s="10" t="s">
        <v>12</v>
      </c>
      <c r="K2" s="11" t="s">
        <v>13</v>
      </c>
      <c r="L2" s="97" t="s">
        <v>83</v>
      </c>
      <c r="M2" s="97" t="s">
        <v>74</v>
      </c>
      <c r="N2" s="57" t="s">
        <v>14</v>
      </c>
      <c r="O2" s="33"/>
      <c r="P2" s="31" t="s">
        <v>50</v>
      </c>
      <c r="Q2" s="43" t="s">
        <v>12</v>
      </c>
      <c r="R2" s="26" t="s">
        <v>13</v>
      </c>
      <c r="S2" s="31" t="s">
        <v>14</v>
      </c>
      <c r="T2" s="57"/>
      <c r="U2" s="11" t="s">
        <v>51</v>
      </c>
      <c r="V2" s="57" t="s">
        <v>52</v>
      </c>
      <c r="W2" s="11" t="s">
        <v>18</v>
      </c>
      <c r="X2" s="92" t="s">
        <v>14</v>
      </c>
    </row>
    <row r="3" spans="1:24" x14ac:dyDescent="0.2">
      <c r="A3" s="56" t="s">
        <v>32</v>
      </c>
      <c r="B3" s="56">
        <v>1</v>
      </c>
      <c r="C3" s="35">
        <v>3000</v>
      </c>
      <c r="D3" s="35">
        <v>0</v>
      </c>
      <c r="E3" s="41">
        <v>4</v>
      </c>
      <c r="G3" s="5">
        <f>SUM(C3:D3)</f>
        <v>3000</v>
      </c>
      <c r="H3" s="5">
        <f>(B3*G3)/E3</f>
        <v>750</v>
      </c>
      <c r="I3" s="79">
        <f>B3*G3</f>
        <v>3000</v>
      </c>
      <c r="J3" s="36">
        <f>'Base Case Totals'!J3</f>
        <v>0.7</v>
      </c>
      <c r="K3" s="5">
        <f>I3*J3</f>
        <v>2100</v>
      </c>
      <c r="L3" s="36">
        <f>1-('Base Case Totals'!B$67)</f>
        <v>0.5</v>
      </c>
      <c r="M3" s="62">
        <f>K3*B$43*(L3)</f>
        <v>4453050</v>
      </c>
      <c r="N3" s="5">
        <f>H3-K3</f>
        <v>-1350</v>
      </c>
      <c r="P3" s="35">
        <f>C3*0.3</f>
        <v>900</v>
      </c>
      <c r="Q3" s="36">
        <f>'Base Case Totals'!P3</f>
        <v>0.7</v>
      </c>
      <c r="R3" s="5">
        <f>P3*Q3</f>
        <v>630</v>
      </c>
      <c r="S3" s="5">
        <f>P3-R3</f>
        <v>270</v>
      </c>
      <c r="T3" s="5"/>
      <c r="U3" s="5">
        <f>(J3*H3)+(Q3*P3)</f>
        <v>1155</v>
      </c>
      <c r="V3" s="5">
        <f>N3+S3</f>
        <v>-1080</v>
      </c>
      <c r="W3" s="5">
        <f>U3+V3</f>
        <v>75</v>
      </c>
      <c r="X3" s="79">
        <f>R3*B$43*(1-L3)</f>
        <v>1335915</v>
      </c>
    </row>
    <row r="4" spans="1:24" x14ac:dyDescent="0.2">
      <c r="A4" s="46" t="s">
        <v>33</v>
      </c>
      <c r="B4" s="46">
        <v>1</v>
      </c>
      <c r="C4" s="39">
        <v>3000</v>
      </c>
      <c r="D4" s="39">
        <v>0</v>
      </c>
      <c r="E4" s="13">
        <v>4</v>
      </c>
      <c r="F4" s="28"/>
      <c r="G4" s="32">
        <f>SUM(C4:D4)</f>
        <v>3000</v>
      </c>
      <c r="H4" s="32">
        <f>(B4*G4)/E4</f>
        <v>750</v>
      </c>
      <c r="I4" s="79">
        <f>B4*G4</f>
        <v>3000</v>
      </c>
      <c r="J4" s="27">
        <f>'Base Case Totals'!J3</f>
        <v>0.7</v>
      </c>
      <c r="K4" s="79">
        <f>I4*J4</f>
        <v>2100</v>
      </c>
      <c r="L4" s="36">
        <f>1-('Base Case Totals'!B$67)</f>
        <v>0.5</v>
      </c>
      <c r="M4" s="79">
        <f>K4*B$43*(L4)</f>
        <v>4453050</v>
      </c>
      <c r="N4" s="32">
        <f>H4-K4</f>
        <v>-1350</v>
      </c>
      <c r="O4" s="28"/>
      <c r="P4" s="35">
        <f>C4*0.3</f>
        <v>900</v>
      </c>
      <c r="Q4" s="27">
        <f>'Base Case Totals'!P3</f>
        <v>0.7</v>
      </c>
      <c r="R4" s="32">
        <f>P4*Q4</f>
        <v>630</v>
      </c>
      <c r="S4" s="32">
        <f>P4-R4</f>
        <v>270</v>
      </c>
      <c r="T4" s="32"/>
      <c r="U4" s="32">
        <f>(J4*H4)+(Q4*P4)</f>
        <v>1155</v>
      </c>
      <c r="V4" s="32">
        <f>N4+S4</f>
        <v>-1080</v>
      </c>
      <c r="W4" s="32">
        <f>U4+V4</f>
        <v>75</v>
      </c>
      <c r="X4" s="79">
        <f>R4*B$43*(1-L4)</f>
        <v>1335915</v>
      </c>
    </row>
    <row r="5" spans="1:24" x14ac:dyDescent="0.2">
      <c r="A5" s="6" t="s">
        <v>18</v>
      </c>
      <c r="B5" s="6"/>
      <c r="C5" s="15"/>
      <c r="D5" s="15"/>
      <c r="E5" s="9"/>
      <c r="F5" s="19"/>
      <c r="G5" s="15"/>
      <c r="H5" s="15">
        <f>SUM(H3:H4)</f>
        <v>1500</v>
      </c>
      <c r="I5" s="15">
        <f>SUM(I3:I4)</f>
        <v>6000</v>
      </c>
      <c r="J5" s="6"/>
      <c r="K5" s="15">
        <f>SUM(K3:K4)</f>
        <v>4200</v>
      </c>
      <c r="L5" s="66"/>
      <c r="M5" s="15">
        <f>SUM(M3:M4)</f>
        <v>8906100</v>
      </c>
      <c r="N5" s="15">
        <f>SUM(N3:N4)</f>
        <v>-2700</v>
      </c>
      <c r="O5" s="19"/>
      <c r="P5" s="59">
        <f>SUM(P3:P4)</f>
        <v>1800</v>
      </c>
      <c r="Q5" s="15"/>
      <c r="R5" s="15">
        <f>SUM(R3:R4)</f>
        <v>1260</v>
      </c>
      <c r="S5" s="15">
        <f>SUM(S3:S4)</f>
        <v>540</v>
      </c>
      <c r="T5" s="15"/>
      <c r="U5" s="15">
        <f>SUM(U3:U4)</f>
        <v>2310</v>
      </c>
      <c r="V5" s="15">
        <f>SUM(V3:V4)</f>
        <v>-2160</v>
      </c>
      <c r="W5" s="15">
        <f>SUM(W3:W4)</f>
        <v>150</v>
      </c>
      <c r="X5" s="15">
        <f>SUM(X3:X4)</f>
        <v>2671830</v>
      </c>
    </row>
    <row r="6" spans="1:24" x14ac:dyDescent="0.2">
      <c r="W6" s="5"/>
    </row>
    <row r="7" spans="1:24" x14ac:dyDescent="0.2">
      <c r="A7" s="127" t="s">
        <v>53</v>
      </c>
      <c r="B7" s="127"/>
      <c r="C7" s="127"/>
      <c r="D7" s="127"/>
      <c r="E7" s="128"/>
      <c r="F7" s="2"/>
      <c r="G7" s="129" t="s">
        <v>3</v>
      </c>
      <c r="H7" s="129"/>
      <c r="I7" s="129"/>
      <c r="J7" s="129"/>
      <c r="K7" s="130"/>
      <c r="L7" s="130"/>
      <c r="M7" s="130"/>
      <c r="N7" s="129"/>
      <c r="O7" s="2"/>
      <c r="P7" s="130" t="s">
        <v>4</v>
      </c>
      <c r="Q7" s="130"/>
      <c r="R7" s="130"/>
      <c r="S7" s="130"/>
      <c r="T7" s="48"/>
      <c r="U7" s="129" t="s">
        <v>5</v>
      </c>
      <c r="V7" s="129"/>
      <c r="W7" s="48"/>
    </row>
    <row r="8" spans="1:24" ht="29.25" customHeight="1" x14ac:dyDescent="0.2">
      <c r="A8" s="33"/>
      <c r="B8" s="31" t="s">
        <v>6</v>
      </c>
      <c r="C8" s="31" t="s">
        <v>7</v>
      </c>
      <c r="D8" s="31" t="s">
        <v>8</v>
      </c>
      <c r="E8" s="12" t="s">
        <v>9</v>
      </c>
      <c r="F8" s="57"/>
      <c r="G8" s="57" t="s">
        <v>10</v>
      </c>
      <c r="H8" s="57" t="s">
        <v>49</v>
      </c>
      <c r="I8" s="97" t="s">
        <v>79</v>
      </c>
      <c r="J8" s="10" t="s">
        <v>12</v>
      </c>
      <c r="K8" s="11" t="s">
        <v>13</v>
      </c>
      <c r="L8" s="97" t="s">
        <v>83</v>
      </c>
      <c r="M8" s="97" t="s">
        <v>74</v>
      </c>
      <c r="N8" s="57" t="s">
        <v>14</v>
      </c>
      <c r="O8" s="33"/>
      <c r="P8" s="31" t="s">
        <v>50</v>
      </c>
      <c r="Q8" s="43" t="s">
        <v>12</v>
      </c>
      <c r="R8" s="26" t="s">
        <v>13</v>
      </c>
      <c r="S8" s="31" t="s">
        <v>14</v>
      </c>
      <c r="T8" s="57"/>
      <c r="U8" s="11" t="s">
        <v>51</v>
      </c>
      <c r="V8" s="57" t="s">
        <v>52</v>
      </c>
      <c r="W8" s="11" t="s">
        <v>18</v>
      </c>
    </row>
    <row r="9" spans="1:24" x14ac:dyDescent="0.2">
      <c r="A9" s="56" t="s">
        <v>54</v>
      </c>
      <c r="B9" s="56">
        <v>1</v>
      </c>
      <c r="C9" s="35">
        <v>12500</v>
      </c>
      <c r="D9" s="35">
        <v>0</v>
      </c>
      <c r="E9" s="41">
        <v>6</v>
      </c>
      <c r="G9" s="5">
        <f>SUM(C9:D9)</f>
        <v>12500</v>
      </c>
      <c r="H9" s="5">
        <f>(B9*G9)/E9</f>
        <v>2083.3333333333335</v>
      </c>
      <c r="I9" s="79">
        <f>B9*G9</f>
        <v>12500</v>
      </c>
      <c r="J9" s="36">
        <f>'Base Case Totals'!J3</f>
        <v>0.7</v>
      </c>
      <c r="K9" s="79">
        <f>I9*J9</f>
        <v>8750</v>
      </c>
      <c r="L9" s="36">
        <f>1-('Base Case Totals'!B$64)</f>
        <v>0.4</v>
      </c>
      <c r="M9" s="79">
        <f>K9*B$44*(L9)</f>
        <v>26684000</v>
      </c>
      <c r="N9" s="5">
        <f>H9-K9</f>
        <v>-6666.6666666666661</v>
      </c>
      <c r="P9" s="35">
        <f>C9*0.15</f>
        <v>1875</v>
      </c>
      <c r="Q9" s="36">
        <f>'Base Case Totals'!P3</f>
        <v>0.7</v>
      </c>
      <c r="R9" s="5">
        <f>P9*Q9</f>
        <v>1312.5</v>
      </c>
      <c r="S9" s="5">
        <f>P9-R9</f>
        <v>562.5</v>
      </c>
      <c r="U9" s="5">
        <f>(J9*H9)+(Q9*P9)</f>
        <v>2770.833333333333</v>
      </c>
      <c r="V9" s="5">
        <f>N9+S9</f>
        <v>-6104.1666666666661</v>
      </c>
      <c r="W9" s="5">
        <f>U9+V9</f>
        <v>-3333.333333333333</v>
      </c>
      <c r="X9" s="79">
        <f>R9*B$43*(1-L9)</f>
        <v>3339787.5</v>
      </c>
    </row>
    <row r="10" spans="1:24" x14ac:dyDescent="0.2">
      <c r="A10" s="56" t="s">
        <v>32</v>
      </c>
      <c r="B10" s="56">
        <v>1</v>
      </c>
      <c r="C10" s="35">
        <v>5000</v>
      </c>
      <c r="D10" s="35">
        <v>0</v>
      </c>
      <c r="E10" s="41">
        <v>4</v>
      </c>
      <c r="G10" s="5">
        <f>SUM(C10:D10)</f>
        <v>5000</v>
      </c>
      <c r="H10" s="5">
        <f>(B10*G10)/E10</f>
        <v>1250</v>
      </c>
      <c r="I10" s="79">
        <f>B10*G10</f>
        <v>5000</v>
      </c>
      <c r="J10" s="36">
        <f>'Base Case Totals'!J3</f>
        <v>0.7</v>
      </c>
      <c r="K10" s="79">
        <f>I10*J10</f>
        <v>3500</v>
      </c>
      <c r="L10" s="36">
        <f>1-('Base Case Totals'!B$67)</f>
        <v>0.5</v>
      </c>
      <c r="M10" s="82">
        <f t="shared" ref="M10:M12" si="0">K10*B$44*(L10)</f>
        <v>13342000</v>
      </c>
      <c r="N10" s="5">
        <f>H10-K10</f>
        <v>-2250</v>
      </c>
      <c r="P10" s="35">
        <f>C10*0.3</f>
        <v>1500</v>
      </c>
      <c r="Q10" s="36">
        <f>'Base Case Totals'!P3</f>
        <v>0.7</v>
      </c>
      <c r="R10" s="5">
        <f>P10*Q10</f>
        <v>1050</v>
      </c>
      <c r="S10" s="5">
        <f>P10-R10</f>
        <v>450</v>
      </c>
      <c r="T10" s="5"/>
      <c r="U10" s="5">
        <f>(J10*H10)+(Q10*P10)</f>
        <v>1925</v>
      </c>
      <c r="V10" s="5">
        <f>N10+S10</f>
        <v>-1800</v>
      </c>
      <c r="W10" s="5">
        <f>U10+V10</f>
        <v>125</v>
      </c>
      <c r="X10" s="79">
        <f>R10*B$43*(1-L10)</f>
        <v>2226525</v>
      </c>
    </row>
    <row r="11" spans="1:24" x14ac:dyDescent="0.2">
      <c r="A11" s="56" t="s">
        <v>33</v>
      </c>
      <c r="B11" s="56">
        <v>1</v>
      </c>
      <c r="C11" s="35">
        <v>5000</v>
      </c>
      <c r="D11" s="35">
        <v>0</v>
      </c>
      <c r="E11" s="41">
        <v>4</v>
      </c>
      <c r="G11" s="5">
        <f>SUM(C11:D11)</f>
        <v>5000</v>
      </c>
      <c r="H11" s="5">
        <f>(B11*G11)/E11</f>
        <v>1250</v>
      </c>
      <c r="I11" s="79">
        <f>B11*G11</f>
        <v>5000</v>
      </c>
      <c r="J11" s="36">
        <f>'Base Case Totals'!J3</f>
        <v>0.7</v>
      </c>
      <c r="K11" s="79">
        <f>I11*J11</f>
        <v>3500</v>
      </c>
      <c r="L11" s="36">
        <f>1-('Base Case Totals'!B$67)</f>
        <v>0.5</v>
      </c>
      <c r="M11" s="82">
        <f t="shared" si="0"/>
        <v>13342000</v>
      </c>
      <c r="N11" s="5">
        <f>H11-K11</f>
        <v>-2250</v>
      </c>
      <c r="P11" s="35">
        <f>C11*0.3</f>
        <v>1500</v>
      </c>
      <c r="Q11" s="36">
        <f>'Base Case Totals'!P3</f>
        <v>0.7</v>
      </c>
      <c r="R11" s="5">
        <f>P11*Q11</f>
        <v>1050</v>
      </c>
      <c r="S11" s="5">
        <f>P11-R11</f>
        <v>450</v>
      </c>
      <c r="T11" s="5"/>
      <c r="U11" s="5">
        <f>(J11*H11)+(Q11*P11)</f>
        <v>1925</v>
      </c>
      <c r="V11" s="5">
        <f>N11+S11</f>
        <v>-1800</v>
      </c>
      <c r="W11" s="5">
        <f>U11+V11</f>
        <v>125</v>
      </c>
      <c r="X11" s="79">
        <f>R11*B$43*(1-L11)</f>
        <v>2226525</v>
      </c>
    </row>
    <row r="12" spans="1:24" x14ac:dyDescent="0.2">
      <c r="A12" s="46" t="s">
        <v>55</v>
      </c>
      <c r="B12" s="46">
        <v>1</v>
      </c>
      <c r="C12" s="39">
        <v>5000</v>
      </c>
      <c r="D12" s="39">
        <v>0</v>
      </c>
      <c r="E12" s="13">
        <v>12</v>
      </c>
      <c r="F12" s="28"/>
      <c r="G12" s="32">
        <f>SUM(C12:D12)</f>
        <v>5000</v>
      </c>
      <c r="H12" s="32">
        <f>(B12*G12)/E12</f>
        <v>416.66666666666669</v>
      </c>
      <c r="I12" s="79">
        <f>B12*G12</f>
        <v>5000</v>
      </c>
      <c r="J12" s="27">
        <f>'Base Case Totals'!J3</f>
        <v>0.7</v>
      </c>
      <c r="K12" s="79">
        <f>I12*J12</f>
        <v>3500</v>
      </c>
      <c r="L12" s="63">
        <f>1-('Base Case Totals'!B$65)</f>
        <v>0.19999999999999996</v>
      </c>
      <c r="M12" s="82">
        <f t="shared" si="0"/>
        <v>5336799.9999999991</v>
      </c>
      <c r="N12" s="32">
        <f>H12-K12</f>
        <v>-3083.3333333333335</v>
      </c>
      <c r="O12" s="28"/>
      <c r="P12" s="39">
        <v>0</v>
      </c>
      <c r="Q12" s="27">
        <f>'Base Case Totals'!P3</f>
        <v>0.7</v>
      </c>
      <c r="R12" s="32">
        <f>P12*Q12</f>
        <v>0</v>
      </c>
      <c r="S12" s="32">
        <f>P12-R12</f>
        <v>0</v>
      </c>
      <c r="T12" s="32"/>
      <c r="U12" s="32">
        <f>(J12*H12)+(Q12*P12)</f>
        <v>291.66666666666669</v>
      </c>
      <c r="V12" s="32">
        <f>N12+S12</f>
        <v>-3083.3333333333335</v>
      </c>
      <c r="W12" s="32">
        <f>U12+V12</f>
        <v>-2791.666666666667</v>
      </c>
      <c r="X12" s="79">
        <f>R12*B$43*(1-L12)</f>
        <v>0</v>
      </c>
    </row>
    <row r="13" spans="1:24" x14ac:dyDescent="0.2">
      <c r="A13" s="6" t="s">
        <v>18</v>
      </c>
      <c r="B13" s="6"/>
      <c r="C13" s="15"/>
      <c r="D13" s="15"/>
      <c r="E13" s="9"/>
      <c r="F13" s="6"/>
      <c r="G13" s="15"/>
      <c r="H13" s="15">
        <f>SUM(H9:H12)</f>
        <v>5000.0000000000009</v>
      </c>
      <c r="I13" s="15">
        <f>SUM(I9:I12)</f>
        <v>27500</v>
      </c>
      <c r="J13" s="6"/>
      <c r="K13" s="15">
        <f>SUM(K9:K12)</f>
        <v>19250</v>
      </c>
      <c r="L13" s="66"/>
      <c r="M13" s="15">
        <f>SUM(M9:M12)</f>
        <v>58704800</v>
      </c>
      <c r="N13" s="15">
        <f>SUM(N9:N12)</f>
        <v>-14250</v>
      </c>
      <c r="O13" s="19"/>
      <c r="P13" s="15">
        <f>SUM(P9:P12)</f>
        <v>4875</v>
      </c>
      <c r="Q13" s="15"/>
      <c r="R13" s="15">
        <f>SUM(R9:R12)</f>
        <v>3412.5</v>
      </c>
      <c r="S13" s="15">
        <f>SUM(S9:S12)</f>
        <v>1462.5</v>
      </c>
      <c r="T13" s="15"/>
      <c r="U13" s="15">
        <f>SUM(U9:U12)</f>
        <v>6912.5</v>
      </c>
      <c r="V13" s="15">
        <f>SUM(V9:V12)</f>
        <v>-12787.5</v>
      </c>
      <c r="W13" s="15">
        <f>SUM(W9:W12)</f>
        <v>-5875</v>
      </c>
      <c r="X13" s="15">
        <f>SUM(X8:X12)</f>
        <v>7792837.5</v>
      </c>
    </row>
    <row r="14" spans="1:24" x14ac:dyDescent="0.2">
      <c r="C14" s="5"/>
      <c r="D14" s="5"/>
      <c r="G14" s="5"/>
      <c r="K14" s="5"/>
      <c r="L14" s="79"/>
      <c r="M14" s="79"/>
      <c r="P14" s="5"/>
      <c r="Q14" s="5"/>
      <c r="R14" s="5"/>
      <c r="S14" s="5"/>
      <c r="T14" s="5"/>
      <c r="U14" s="5"/>
      <c r="W14" s="5"/>
    </row>
    <row r="15" spans="1:24" x14ac:dyDescent="0.2">
      <c r="A15" s="127" t="s">
        <v>56</v>
      </c>
      <c r="B15" s="127"/>
      <c r="C15" s="128"/>
      <c r="D15" s="128"/>
      <c r="E15" s="2"/>
      <c r="F15" s="2"/>
      <c r="G15" s="129" t="s">
        <v>3</v>
      </c>
      <c r="H15" s="129"/>
      <c r="I15" s="129"/>
      <c r="J15" s="129"/>
      <c r="K15" s="130"/>
      <c r="L15" s="130"/>
      <c r="M15" s="130"/>
      <c r="N15" s="129"/>
      <c r="O15" s="2"/>
      <c r="P15" s="130" t="s">
        <v>4</v>
      </c>
      <c r="Q15" s="130"/>
      <c r="R15" s="130"/>
      <c r="S15" s="130"/>
      <c r="T15" s="48"/>
      <c r="U15" s="129" t="s">
        <v>5</v>
      </c>
      <c r="V15" s="129"/>
      <c r="W15" s="48"/>
    </row>
    <row r="16" spans="1:24" ht="28.5" customHeight="1" x14ac:dyDescent="0.2">
      <c r="A16" s="33"/>
      <c r="B16" s="31" t="s">
        <v>6</v>
      </c>
      <c r="C16" s="31" t="s">
        <v>7</v>
      </c>
      <c r="D16" s="31" t="s">
        <v>8</v>
      </c>
      <c r="E16" s="12" t="s">
        <v>9</v>
      </c>
      <c r="F16" s="57"/>
      <c r="G16" s="57" t="s">
        <v>10</v>
      </c>
      <c r="H16" s="57" t="s">
        <v>49</v>
      </c>
      <c r="I16" s="97" t="s">
        <v>80</v>
      </c>
      <c r="J16" s="10" t="s">
        <v>12</v>
      </c>
      <c r="K16" s="11" t="s">
        <v>13</v>
      </c>
      <c r="L16" s="97" t="s">
        <v>83</v>
      </c>
      <c r="M16" s="97" t="s">
        <v>74</v>
      </c>
      <c r="N16" s="57" t="s">
        <v>14</v>
      </c>
      <c r="O16" s="33"/>
      <c r="P16" s="31" t="s">
        <v>50</v>
      </c>
      <c r="Q16" s="43" t="s">
        <v>12</v>
      </c>
      <c r="R16" s="26" t="s">
        <v>13</v>
      </c>
      <c r="S16" s="31" t="s">
        <v>14</v>
      </c>
      <c r="T16" s="57"/>
      <c r="U16" s="11" t="s">
        <v>51</v>
      </c>
      <c r="V16" s="57" t="s">
        <v>52</v>
      </c>
      <c r="W16" s="11" t="s">
        <v>18</v>
      </c>
    </row>
    <row r="17" spans="1:24" x14ac:dyDescent="0.2">
      <c r="A17" s="56" t="s">
        <v>54</v>
      </c>
      <c r="B17" s="56">
        <v>1</v>
      </c>
      <c r="C17" s="35">
        <v>12500</v>
      </c>
      <c r="D17" s="35">
        <v>0</v>
      </c>
      <c r="E17" s="41">
        <v>6</v>
      </c>
      <c r="G17" s="5">
        <f>SUM(C17:D17)</f>
        <v>12500</v>
      </c>
      <c r="H17" s="5">
        <f>(B17*G17)/E17</f>
        <v>2083.3333333333335</v>
      </c>
      <c r="I17" s="79">
        <f>B17*G17</f>
        <v>12500</v>
      </c>
      <c r="J17" s="36">
        <f>'Base Case Totals'!J3</f>
        <v>0.7</v>
      </c>
      <c r="K17" s="79">
        <f>I17*J17</f>
        <v>8750</v>
      </c>
      <c r="L17" s="36">
        <f>1-('Base Case Totals'!B$64)</f>
        <v>0.4</v>
      </c>
      <c r="M17" s="79">
        <f>K17*B$45*(L17)</f>
        <v>10909500</v>
      </c>
      <c r="N17" s="5">
        <f>H17-K17</f>
        <v>-6666.6666666666661</v>
      </c>
      <c r="P17" s="35">
        <f>C17*0.15</f>
        <v>1875</v>
      </c>
      <c r="Q17" s="36">
        <f>'Base Case Totals'!P3</f>
        <v>0.7</v>
      </c>
      <c r="R17" s="5">
        <f>P17*Q17</f>
        <v>1312.5</v>
      </c>
      <c r="S17" s="5">
        <f>P17-R17</f>
        <v>562.5</v>
      </c>
      <c r="U17" s="5">
        <f>(J17*H17)+(Q17*P17)</f>
        <v>2770.833333333333</v>
      </c>
      <c r="V17" s="5">
        <f>N17+S17</f>
        <v>-6104.1666666666661</v>
      </c>
      <c r="W17" s="5">
        <f>U17+V17</f>
        <v>-3333.333333333333</v>
      </c>
      <c r="X17" s="79">
        <f>R17*B$43*(1-L17)</f>
        <v>3339787.5</v>
      </c>
    </row>
    <row r="18" spans="1:24" x14ac:dyDescent="0.2">
      <c r="A18" s="56" t="s">
        <v>32</v>
      </c>
      <c r="B18" s="56">
        <v>1</v>
      </c>
      <c r="C18" s="35">
        <v>10000</v>
      </c>
      <c r="D18" s="35">
        <v>0</v>
      </c>
      <c r="E18" s="41">
        <v>4</v>
      </c>
      <c r="G18" s="5">
        <f>SUM(C18:D18)</f>
        <v>10000</v>
      </c>
      <c r="H18" s="5">
        <f>(B18*G18)/E18</f>
        <v>2500</v>
      </c>
      <c r="I18" s="79">
        <f>B18*G18</f>
        <v>10000</v>
      </c>
      <c r="J18" s="36">
        <f>'Base Case Totals'!J3</f>
        <v>0.7</v>
      </c>
      <c r="K18" s="79">
        <f>I18*J18</f>
        <v>7000</v>
      </c>
      <c r="L18" s="36">
        <f>1-('Base Case Totals'!B$67)</f>
        <v>0.5</v>
      </c>
      <c r="M18" s="82">
        <f t="shared" ref="M18:M20" si="1">K18*B$45*(L18)</f>
        <v>10909500</v>
      </c>
      <c r="N18" s="5">
        <f>H18-K18</f>
        <v>-4500</v>
      </c>
      <c r="P18" s="35">
        <f>C18*0.3</f>
        <v>3000</v>
      </c>
      <c r="Q18" s="36">
        <f>'Base Case Totals'!P3</f>
        <v>0.7</v>
      </c>
      <c r="R18" s="5">
        <f>P18*Q18</f>
        <v>2100</v>
      </c>
      <c r="S18" s="5">
        <f>P18-R18</f>
        <v>900</v>
      </c>
      <c r="T18" s="5"/>
      <c r="U18" s="5">
        <f>(J18*H18)+(Q18*P18)</f>
        <v>3850</v>
      </c>
      <c r="V18" s="5">
        <f>N18+S18</f>
        <v>-3600</v>
      </c>
      <c r="W18" s="5">
        <f>U18+V18</f>
        <v>250</v>
      </c>
      <c r="X18" s="79">
        <f>R18*B$43*(1-L18)</f>
        <v>4453050</v>
      </c>
    </row>
    <row r="19" spans="1:24" x14ac:dyDescent="0.2">
      <c r="A19" s="56" t="s">
        <v>33</v>
      </c>
      <c r="B19" s="56">
        <v>1</v>
      </c>
      <c r="C19" s="35">
        <v>10000</v>
      </c>
      <c r="D19" s="35">
        <v>0</v>
      </c>
      <c r="E19" s="41">
        <v>4</v>
      </c>
      <c r="G19" s="5">
        <f>SUM(C19:D19)</f>
        <v>10000</v>
      </c>
      <c r="H19" s="5">
        <f>(B19*G19)/E19</f>
        <v>2500</v>
      </c>
      <c r="I19" s="79">
        <f>B19*G19</f>
        <v>10000</v>
      </c>
      <c r="J19" s="36">
        <f>'Base Case Totals'!J3</f>
        <v>0.7</v>
      </c>
      <c r="K19" s="79">
        <f>I19*J19</f>
        <v>7000</v>
      </c>
      <c r="L19" s="36">
        <f>1-('Base Case Totals'!B$67)</f>
        <v>0.5</v>
      </c>
      <c r="M19" s="82">
        <f t="shared" si="1"/>
        <v>10909500</v>
      </c>
      <c r="N19" s="5">
        <f>H19-K19</f>
        <v>-4500</v>
      </c>
      <c r="P19" s="35">
        <f>C19*0.3</f>
        <v>3000</v>
      </c>
      <c r="Q19" s="36">
        <f>'Base Case Totals'!P3</f>
        <v>0.7</v>
      </c>
      <c r="R19" s="5">
        <f>P19*Q19</f>
        <v>2100</v>
      </c>
      <c r="S19" s="5">
        <f>P19-R19</f>
        <v>900</v>
      </c>
      <c r="T19" s="5"/>
      <c r="U19" s="5">
        <f>(J19*H19)+(Q19*P19)</f>
        <v>3850</v>
      </c>
      <c r="V19" s="5">
        <f>N19+S19</f>
        <v>-3600</v>
      </c>
      <c r="W19" s="5">
        <f>U19+V19</f>
        <v>250</v>
      </c>
      <c r="X19" s="79">
        <f>R19*B$43*(1-L19)</f>
        <v>4453050</v>
      </c>
    </row>
    <row r="20" spans="1:24" x14ac:dyDescent="0.2">
      <c r="A20" s="46" t="s">
        <v>55</v>
      </c>
      <c r="B20" s="46">
        <v>1</v>
      </c>
      <c r="C20" s="39">
        <v>5000</v>
      </c>
      <c r="D20" s="39">
        <v>0</v>
      </c>
      <c r="E20" s="13">
        <v>12</v>
      </c>
      <c r="F20" s="28"/>
      <c r="G20" s="32">
        <f>SUM(C20:D20)</f>
        <v>5000</v>
      </c>
      <c r="H20" s="32">
        <f>(B20*G20)/E20</f>
        <v>416.66666666666669</v>
      </c>
      <c r="I20" s="79">
        <f>B20*G20</f>
        <v>5000</v>
      </c>
      <c r="J20" s="27">
        <f>'Base Case Totals'!J3</f>
        <v>0.7</v>
      </c>
      <c r="K20" s="79">
        <f>I20*J20</f>
        <v>3500</v>
      </c>
      <c r="L20" s="63">
        <f>1-('Base Case Totals'!B$65)</f>
        <v>0.19999999999999996</v>
      </c>
      <c r="M20" s="82">
        <f t="shared" si="1"/>
        <v>2181899.9999999995</v>
      </c>
      <c r="N20" s="32">
        <f>H20-K20</f>
        <v>-3083.3333333333335</v>
      </c>
      <c r="O20" s="28"/>
      <c r="P20" s="39">
        <v>0</v>
      </c>
      <c r="Q20" s="27">
        <f>'Base Case Totals'!P3</f>
        <v>0.7</v>
      </c>
      <c r="R20" s="32">
        <f>P20*Q20</f>
        <v>0</v>
      </c>
      <c r="S20" s="32">
        <f>P20-R20</f>
        <v>0</v>
      </c>
      <c r="T20" s="32"/>
      <c r="U20" s="32">
        <f>(J20*H20)+(Q20*P20)</f>
        <v>291.66666666666669</v>
      </c>
      <c r="V20" s="32">
        <f>N20+S20</f>
        <v>-3083.3333333333335</v>
      </c>
      <c r="W20" s="32">
        <f>U20+V20</f>
        <v>-2791.666666666667</v>
      </c>
      <c r="X20" s="79">
        <f>R20*B$43*(1-L20)</f>
        <v>0</v>
      </c>
    </row>
    <row r="21" spans="1:24" x14ac:dyDescent="0.2">
      <c r="A21" s="6" t="s">
        <v>18</v>
      </c>
      <c r="B21" s="6"/>
      <c r="C21" s="15"/>
      <c r="D21" s="15"/>
      <c r="E21" s="9"/>
      <c r="F21" s="6"/>
      <c r="G21" s="15"/>
      <c r="H21" s="15">
        <f>SUM(H17:H20)</f>
        <v>7500.0000000000009</v>
      </c>
      <c r="I21" s="15">
        <f>SUM(I17:I20)</f>
        <v>37500</v>
      </c>
      <c r="J21" s="6"/>
      <c r="K21" s="15">
        <f>SUM(K17:K20)</f>
        <v>26250</v>
      </c>
      <c r="L21" s="66"/>
      <c r="M21" s="15">
        <f>SUM(M17:M20)</f>
        <v>34910400</v>
      </c>
      <c r="N21" s="15">
        <f>SUM(N17:N20)</f>
        <v>-18750</v>
      </c>
      <c r="O21" s="19"/>
      <c r="P21" s="15">
        <f>SUM(P17:P20)</f>
        <v>7875</v>
      </c>
      <c r="Q21" s="15"/>
      <c r="R21" s="15">
        <f>SUM(R17:R20)</f>
        <v>5512.5</v>
      </c>
      <c r="S21" s="15">
        <f>SUM(S17:S20)</f>
        <v>2362.5</v>
      </c>
      <c r="T21" s="15"/>
      <c r="U21" s="15">
        <f>SUM(U17:U20)</f>
        <v>10762.499999999998</v>
      </c>
      <c r="V21" s="15">
        <f>SUM(V17:V20)</f>
        <v>-16387.5</v>
      </c>
      <c r="W21" s="15">
        <f>SUM(W17:W20)</f>
        <v>-5625</v>
      </c>
      <c r="X21" s="15">
        <f>SUM(X16:X20)</f>
        <v>12245887.5</v>
      </c>
    </row>
    <row r="22" spans="1:24" x14ac:dyDescent="0.2">
      <c r="C22" s="5"/>
      <c r="D22" s="5"/>
      <c r="G22" s="5"/>
      <c r="K22" s="5"/>
      <c r="L22" s="79"/>
      <c r="M22" s="79"/>
      <c r="P22" s="5"/>
      <c r="Q22" s="5"/>
      <c r="R22" s="5"/>
      <c r="S22" s="5"/>
      <c r="T22" s="5"/>
      <c r="U22" s="5"/>
      <c r="W22" s="5"/>
    </row>
    <row r="23" spans="1:24" ht="11.25" customHeight="1" x14ac:dyDescent="0.2">
      <c r="A23" s="127" t="s">
        <v>57</v>
      </c>
      <c r="B23" s="127"/>
      <c r="C23" s="128"/>
      <c r="D23" s="128"/>
      <c r="E23" s="2"/>
      <c r="F23" s="2"/>
      <c r="G23" s="129" t="s">
        <v>3</v>
      </c>
      <c r="H23" s="129"/>
      <c r="I23" s="129"/>
      <c r="J23" s="129"/>
      <c r="K23" s="130"/>
      <c r="L23" s="130"/>
      <c r="M23" s="130"/>
      <c r="N23" s="129"/>
      <c r="O23" s="2"/>
      <c r="P23" s="130" t="s">
        <v>4</v>
      </c>
      <c r="Q23" s="130"/>
      <c r="R23" s="130"/>
      <c r="S23" s="130"/>
      <c r="T23" s="48"/>
      <c r="U23" s="129" t="s">
        <v>5</v>
      </c>
      <c r="V23" s="129"/>
      <c r="W23" s="48"/>
    </row>
    <row r="24" spans="1:24" ht="27" customHeight="1" x14ac:dyDescent="0.2">
      <c r="A24" s="33"/>
      <c r="B24" s="31" t="s">
        <v>6</v>
      </c>
      <c r="C24" s="31" t="s">
        <v>7</v>
      </c>
      <c r="D24" s="31" t="s">
        <v>8</v>
      </c>
      <c r="E24" s="12" t="s">
        <v>9</v>
      </c>
      <c r="F24" s="57"/>
      <c r="G24" s="57" t="s">
        <v>10</v>
      </c>
      <c r="H24" s="57" t="s">
        <v>49</v>
      </c>
      <c r="I24" s="97" t="s">
        <v>81</v>
      </c>
      <c r="J24" s="10" t="s">
        <v>12</v>
      </c>
      <c r="K24" s="11" t="s">
        <v>13</v>
      </c>
      <c r="L24" s="97" t="s">
        <v>83</v>
      </c>
      <c r="M24" s="97" t="s">
        <v>74</v>
      </c>
      <c r="N24" s="57" t="s">
        <v>14</v>
      </c>
      <c r="O24" s="33"/>
      <c r="P24" s="31" t="s">
        <v>50</v>
      </c>
      <c r="Q24" s="43" t="s">
        <v>12</v>
      </c>
      <c r="R24" s="26" t="s">
        <v>13</v>
      </c>
      <c r="S24" s="31" t="s">
        <v>14</v>
      </c>
      <c r="T24" s="57"/>
      <c r="U24" s="11" t="s">
        <v>51</v>
      </c>
      <c r="V24" s="57" t="s">
        <v>52</v>
      </c>
      <c r="W24" s="11" t="s">
        <v>18</v>
      </c>
    </row>
    <row r="25" spans="1:24" x14ac:dyDescent="0.2">
      <c r="A25" s="56" t="s">
        <v>54</v>
      </c>
      <c r="B25" s="56">
        <v>1</v>
      </c>
      <c r="C25" s="35">
        <v>50000</v>
      </c>
      <c r="D25" s="35">
        <v>0</v>
      </c>
      <c r="E25" s="41">
        <v>6</v>
      </c>
      <c r="G25" s="5">
        <f>SUM(C25:D25)</f>
        <v>50000</v>
      </c>
      <c r="H25" s="5">
        <f>(B25*G25)/E25</f>
        <v>8333.3333333333339</v>
      </c>
      <c r="I25" s="79">
        <f>B25*G25</f>
        <v>50000</v>
      </c>
      <c r="J25" s="36">
        <f>'Base Case Totals'!J3</f>
        <v>0.7</v>
      </c>
      <c r="K25" s="79">
        <f>I25*J25</f>
        <v>35000</v>
      </c>
      <c r="L25" s="36">
        <f>1-('Base Case Totals'!B$64)</f>
        <v>0.4</v>
      </c>
      <c r="M25" s="79">
        <f>K25*B$46*(L25)</f>
        <v>12348000</v>
      </c>
      <c r="N25" s="5">
        <f>H25-K25</f>
        <v>-26666.666666666664</v>
      </c>
      <c r="P25" s="35">
        <f>C25*0.15</f>
        <v>7500</v>
      </c>
      <c r="Q25" s="36">
        <f>'Base Case Totals'!P3</f>
        <v>0.7</v>
      </c>
      <c r="R25" s="5">
        <f>P25*Q25</f>
        <v>5250</v>
      </c>
      <c r="S25" s="5">
        <f>P25-R25</f>
        <v>2250</v>
      </c>
      <c r="U25" s="5">
        <f>(J26*H25)+(Q25*P25)</f>
        <v>11083.333333333332</v>
      </c>
      <c r="V25" s="5">
        <f>N25+S25</f>
        <v>-24416.666666666664</v>
      </c>
      <c r="W25" s="5">
        <f>U25+V25</f>
        <v>-13333.333333333332</v>
      </c>
      <c r="X25" s="79">
        <f>R25*B$43*(1-L25)</f>
        <v>13359150</v>
      </c>
    </row>
    <row r="26" spans="1:24" x14ac:dyDescent="0.2">
      <c r="A26" s="56" t="s">
        <v>32</v>
      </c>
      <c r="B26" s="56">
        <v>1</v>
      </c>
      <c r="C26" s="35">
        <v>50000</v>
      </c>
      <c r="D26" s="35">
        <v>0</v>
      </c>
      <c r="E26" s="41">
        <v>4</v>
      </c>
      <c r="G26" s="5">
        <f>SUM(C26:D26)</f>
        <v>50000</v>
      </c>
      <c r="H26" s="5">
        <f>(B26*G26)/E26</f>
        <v>12500</v>
      </c>
      <c r="I26" s="79">
        <f>B26*G26</f>
        <v>50000</v>
      </c>
      <c r="J26" s="36">
        <f>'Base Case Totals'!J3</f>
        <v>0.7</v>
      </c>
      <c r="K26" s="79">
        <f>I26*J26</f>
        <v>35000</v>
      </c>
      <c r="L26" s="36">
        <f>1-('Base Case Totals'!B$67)</f>
        <v>0.5</v>
      </c>
      <c r="M26" s="82">
        <f t="shared" ref="M26:M29" si="2">K26*B$46*(L26)</f>
        <v>15435000</v>
      </c>
      <c r="N26" s="5">
        <f>H26-K26</f>
        <v>-22500</v>
      </c>
      <c r="P26" s="35">
        <f>C26*0.3</f>
        <v>15000</v>
      </c>
      <c r="Q26" s="36">
        <f>'Base Case Totals'!P3</f>
        <v>0.7</v>
      </c>
      <c r="R26" s="5">
        <f>P26*Q26</f>
        <v>10500</v>
      </c>
      <c r="S26" s="5">
        <f>P26-R26</f>
        <v>4500</v>
      </c>
      <c r="T26" s="5"/>
      <c r="U26" s="5">
        <f>(J27*H26)+(Q26*P26)</f>
        <v>19250</v>
      </c>
      <c r="V26" s="5">
        <f>N26+S26</f>
        <v>-18000</v>
      </c>
      <c r="W26" s="5">
        <f>U26+V26</f>
        <v>1250</v>
      </c>
      <c r="X26" s="79">
        <f>R26*B$43*(1-L26)</f>
        <v>22265250</v>
      </c>
    </row>
    <row r="27" spans="1:24" x14ac:dyDescent="0.2">
      <c r="A27" s="56" t="s">
        <v>33</v>
      </c>
      <c r="B27" s="56">
        <v>1</v>
      </c>
      <c r="C27" s="35">
        <v>50000</v>
      </c>
      <c r="D27" s="35">
        <v>0</v>
      </c>
      <c r="E27" s="41">
        <v>4</v>
      </c>
      <c r="G27" s="5">
        <f>SUM(C27:D27)</f>
        <v>50000</v>
      </c>
      <c r="H27" s="5">
        <f>(B27*G27)/E27</f>
        <v>12500</v>
      </c>
      <c r="I27" s="79">
        <f>B27*G27</f>
        <v>50000</v>
      </c>
      <c r="J27" s="36">
        <f>'Base Case Totals'!J3</f>
        <v>0.7</v>
      </c>
      <c r="K27" s="79">
        <f>I27*J27</f>
        <v>35000</v>
      </c>
      <c r="L27" s="36">
        <f>1-('Base Case Totals'!B$67)</f>
        <v>0.5</v>
      </c>
      <c r="M27" s="82">
        <f t="shared" si="2"/>
        <v>15435000</v>
      </c>
      <c r="N27" s="5">
        <f>H27-K27</f>
        <v>-22500</v>
      </c>
      <c r="P27" s="35">
        <f>C27*0.3</f>
        <v>15000</v>
      </c>
      <c r="Q27" s="36">
        <f>'Base Case Totals'!P3</f>
        <v>0.7</v>
      </c>
      <c r="R27" s="5">
        <f>P27*Q27</f>
        <v>10500</v>
      </c>
      <c r="S27" s="5">
        <f>P27-R27</f>
        <v>4500</v>
      </c>
      <c r="T27" s="5"/>
      <c r="U27" s="5">
        <f>(J29*H27)+(Q27*P27)</f>
        <v>19250</v>
      </c>
      <c r="V27" s="5">
        <f>N27+S27</f>
        <v>-18000</v>
      </c>
      <c r="W27" s="5">
        <f>U27+V27</f>
        <v>1250</v>
      </c>
      <c r="X27" s="79">
        <f>R27*B$43*(1-L27)</f>
        <v>22265250</v>
      </c>
    </row>
    <row r="28" spans="1:24" x14ac:dyDescent="0.2">
      <c r="A28" s="56" t="s">
        <v>58</v>
      </c>
      <c r="B28" s="56">
        <v>1</v>
      </c>
      <c r="C28" s="35">
        <v>25000</v>
      </c>
      <c r="D28" s="35">
        <v>0</v>
      </c>
      <c r="E28" s="41">
        <v>6</v>
      </c>
      <c r="G28" s="5">
        <f>SUM(C28:D28)</f>
        <v>25000</v>
      </c>
      <c r="H28" s="5">
        <f>(B28*G28)/E28</f>
        <v>4166.666666666667</v>
      </c>
      <c r="I28" s="79">
        <f>B28*G28</f>
        <v>25000</v>
      </c>
      <c r="J28" s="36">
        <f>'Base Case Totals'!J3</f>
        <v>0.7</v>
      </c>
      <c r="K28" s="79">
        <f>I28*J28</f>
        <v>17500</v>
      </c>
      <c r="L28" s="36">
        <f>1-('Base Case Totals'!B$64)</f>
        <v>0.4</v>
      </c>
      <c r="M28" s="82">
        <f t="shared" si="2"/>
        <v>6174000</v>
      </c>
      <c r="N28" s="5">
        <f>H28-K28</f>
        <v>-13333.333333333332</v>
      </c>
      <c r="P28" s="35">
        <f>C28*0.15</f>
        <v>3750</v>
      </c>
      <c r="Q28" s="36">
        <f>'Base Case Totals'!P3</f>
        <v>0.7</v>
      </c>
      <c r="R28" s="5">
        <f>P28*Q28</f>
        <v>2625</v>
      </c>
      <c r="S28" s="5">
        <f>P28-R28</f>
        <v>1125</v>
      </c>
      <c r="T28" s="5"/>
      <c r="U28" s="5">
        <f>(J30*H28)+(Q28*P28)</f>
        <v>2625</v>
      </c>
      <c r="V28" s="5">
        <f>N28+S28</f>
        <v>-12208.333333333332</v>
      </c>
      <c r="W28" s="5">
        <f>U28+V28</f>
        <v>-9583.3333333333321</v>
      </c>
      <c r="X28" s="79">
        <f>R28*B$43*(1-L28)</f>
        <v>6679575</v>
      </c>
    </row>
    <row r="29" spans="1:24" x14ac:dyDescent="0.2">
      <c r="A29" s="46" t="s">
        <v>55</v>
      </c>
      <c r="B29" s="46">
        <v>1</v>
      </c>
      <c r="C29" s="39">
        <v>5000</v>
      </c>
      <c r="D29" s="39">
        <v>0</v>
      </c>
      <c r="E29" s="13">
        <v>12</v>
      </c>
      <c r="F29" s="28"/>
      <c r="G29" s="32">
        <f>SUM(C29:D29)</f>
        <v>5000</v>
      </c>
      <c r="H29" s="32">
        <f>(B29*G29)/E29</f>
        <v>416.66666666666669</v>
      </c>
      <c r="I29" s="79">
        <f>B29*G29</f>
        <v>5000</v>
      </c>
      <c r="J29" s="27">
        <f>'Base Case Totals'!J3</f>
        <v>0.7</v>
      </c>
      <c r="K29" s="79">
        <f>I29*J29</f>
        <v>3500</v>
      </c>
      <c r="L29" s="63">
        <f>1-('Base Case Totals'!B$65)</f>
        <v>0.19999999999999996</v>
      </c>
      <c r="M29" s="82">
        <f t="shared" si="2"/>
        <v>617399.99999999988</v>
      </c>
      <c r="N29" s="32">
        <f>H29-K29</f>
        <v>-3083.3333333333335</v>
      </c>
      <c r="O29" s="28"/>
      <c r="P29" s="39">
        <v>0</v>
      </c>
      <c r="Q29" s="27">
        <f>'Base Case Totals'!P3</f>
        <v>0.7</v>
      </c>
      <c r="R29" s="32">
        <f>P29*Q29</f>
        <v>0</v>
      </c>
      <c r="S29" s="32">
        <f>P29-R29</f>
        <v>0</v>
      </c>
      <c r="T29" s="32"/>
      <c r="U29" s="32">
        <f>(J29*H29)+(Q29*P29)</f>
        <v>291.66666666666669</v>
      </c>
      <c r="V29" s="32">
        <f>N29+S29</f>
        <v>-3083.3333333333335</v>
      </c>
      <c r="W29" s="32">
        <f>U29+V29</f>
        <v>-2791.666666666667</v>
      </c>
      <c r="X29" s="79">
        <f>R29*B$43*(1-L29)</f>
        <v>0</v>
      </c>
    </row>
    <row r="30" spans="1:24" x14ac:dyDescent="0.2">
      <c r="A30" s="6" t="s">
        <v>18</v>
      </c>
      <c r="B30" s="6"/>
      <c r="C30" s="15"/>
      <c r="D30" s="15"/>
      <c r="E30" s="9"/>
      <c r="F30" s="6"/>
      <c r="G30" s="15"/>
      <c r="H30" s="15">
        <f>SUM(H25:H29)</f>
        <v>37916.666666666664</v>
      </c>
      <c r="I30" s="15">
        <f>SUM(I25:I29)</f>
        <v>180000</v>
      </c>
      <c r="J30" s="21"/>
      <c r="K30" s="15">
        <f>SUM(K25:K29)</f>
        <v>126000</v>
      </c>
      <c r="L30" s="66"/>
      <c r="M30" s="15">
        <f>SUM(M25:M29)</f>
        <v>50009400</v>
      </c>
      <c r="N30" s="15">
        <f>SUM(N25:N29)</f>
        <v>-88083.333333333314</v>
      </c>
      <c r="O30" s="19"/>
      <c r="P30" s="15">
        <f>SUM(P25:P29)</f>
        <v>41250</v>
      </c>
      <c r="Q30" s="15"/>
      <c r="R30" s="15">
        <f>SUM(R25:R29)</f>
        <v>28875</v>
      </c>
      <c r="S30" s="15">
        <f>SUM(S25:S29)</f>
        <v>12375</v>
      </c>
      <c r="T30" s="15"/>
      <c r="U30" s="15">
        <f>SUM(U25:U29)</f>
        <v>52499.999999999993</v>
      </c>
      <c r="V30" s="15">
        <f>SUM(V25:V29)</f>
        <v>-75708.333333333328</v>
      </c>
      <c r="W30" s="15">
        <f>SUM(W25:W29)</f>
        <v>-23208.333333333332</v>
      </c>
      <c r="X30" s="15">
        <f>SUM(X25:X29)</f>
        <v>64569225</v>
      </c>
    </row>
    <row r="31" spans="1:24" x14ac:dyDescent="0.2">
      <c r="C31" s="5"/>
      <c r="D31" s="5"/>
      <c r="G31" s="5"/>
      <c r="K31" s="5"/>
      <c r="L31" s="79"/>
      <c r="M31" s="79"/>
      <c r="P31" s="5"/>
      <c r="Q31" s="5"/>
      <c r="R31" s="5"/>
      <c r="S31" s="5"/>
      <c r="T31" s="5"/>
      <c r="U31" s="5"/>
      <c r="W31" s="5"/>
    </row>
    <row r="32" spans="1:24" x14ac:dyDescent="0.2">
      <c r="A32" s="134" t="s">
        <v>89</v>
      </c>
      <c r="B32" s="127"/>
      <c r="C32" s="128"/>
      <c r="D32" s="128"/>
      <c r="E32" s="2"/>
      <c r="F32" s="2"/>
      <c r="G32" s="129" t="s">
        <v>3</v>
      </c>
      <c r="H32" s="129"/>
      <c r="I32" s="129"/>
      <c r="J32" s="129"/>
      <c r="K32" s="130"/>
      <c r="L32" s="130"/>
      <c r="M32" s="130"/>
      <c r="N32" s="129"/>
      <c r="O32" s="2"/>
      <c r="P32" s="130" t="s">
        <v>4</v>
      </c>
      <c r="Q32" s="130"/>
      <c r="R32" s="130"/>
      <c r="S32" s="130"/>
      <c r="T32" s="48"/>
      <c r="U32" s="129" t="s">
        <v>5</v>
      </c>
      <c r="V32" s="129"/>
      <c r="W32" s="48"/>
    </row>
    <row r="33" spans="1:24" ht="25.5" customHeight="1" x14ac:dyDescent="0.2">
      <c r="A33" s="33"/>
      <c r="B33" s="31" t="s">
        <v>6</v>
      </c>
      <c r="C33" s="31" t="s">
        <v>7</v>
      </c>
      <c r="D33" s="31" t="s">
        <v>8</v>
      </c>
      <c r="E33" s="12" t="s">
        <v>9</v>
      </c>
      <c r="F33" s="57"/>
      <c r="G33" s="57" t="s">
        <v>10</v>
      </c>
      <c r="H33" s="57" t="s">
        <v>49</v>
      </c>
      <c r="I33" s="97" t="s">
        <v>82</v>
      </c>
      <c r="J33" s="10" t="s">
        <v>12</v>
      </c>
      <c r="K33" s="11" t="s">
        <v>13</v>
      </c>
      <c r="L33" s="97" t="s">
        <v>83</v>
      </c>
      <c r="M33" s="97" t="s">
        <v>74</v>
      </c>
      <c r="N33" s="57" t="s">
        <v>14</v>
      </c>
      <c r="O33" s="33"/>
      <c r="P33" s="31" t="s">
        <v>50</v>
      </c>
      <c r="Q33" s="43" t="s">
        <v>12</v>
      </c>
      <c r="R33" s="26" t="s">
        <v>13</v>
      </c>
      <c r="S33" s="31" t="s">
        <v>14</v>
      </c>
      <c r="T33" s="57"/>
      <c r="U33" s="11" t="s">
        <v>51</v>
      </c>
      <c r="V33" s="57" t="s">
        <v>52</v>
      </c>
      <c r="W33" s="11" t="s">
        <v>18</v>
      </c>
    </row>
    <row r="34" spans="1:24" x14ac:dyDescent="0.2">
      <c r="A34" s="56" t="s">
        <v>54</v>
      </c>
      <c r="B34" s="56">
        <v>1</v>
      </c>
      <c r="C34" s="35">
        <v>250000</v>
      </c>
      <c r="D34" s="35">
        <v>0</v>
      </c>
      <c r="E34" s="41">
        <v>6</v>
      </c>
      <c r="G34" s="5">
        <f>SUM(C34:D34)</f>
        <v>250000</v>
      </c>
      <c r="H34" s="5">
        <f>(B34*G34)/E34</f>
        <v>41666.666666666664</v>
      </c>
      <c r="I34" s="79">
        <f>B34*G34</f>
        <v>250000</v>
      </c>
      <c r="J34" s="36">
        <f>'Base Case Totals'!J3</f>
        <v>0.7</v>
      </c>
      <c r="K34" s="79">
        <f>I34*J34</f>
        <v>175000</v>
      </c>
      <c r="L34" s="36">
        <f>1-('Base Case Totals'!B$64)</f>
        <v>0.4</v>
      </c>
      <c r="M34" s="79">
        <f>K34*B$47*(L34)</f>
        <v>14000000</v>
      </c>
      <c r="N34" s="5">
        <f>H34-K34</f>
        <v>-133333.33333333334</v>
      </c>
      <c r="P34" s="35">
        <f>C34*0.15</f>
        <v>37500</v>
      </c>
      <c r="Q34" s="36">
        <f>'Base Case Totals'!P3</f>
        <v>0.7</v>
      </c>
      <c r="R34" s="5">
        <f>P34*Q34</f>
        <v>26250</v>
      </c>
      <c r="S34" s="5">
        <f>P34-R34</f>
        <v>11250</v>
      </c>
      <c r="U34" s="5">
        <f>(J34*H34)+(Q34*P34)</f>
        <v>55416.666666666664</v>
      </c>
      <c r="V34" s="5">
        <f>N34+S34</f>
        <v>-122083.33333333334</v>
      </c>
      <c r="W34" s="5">
        <f>U34+V34</f>
        <v>-66666.666666666686</v>
      </c>
      <c r="X34" s="79">
        <f>R34*B$43*(1-L34)</f>
        <v>66795750</v>
      </c>
    </row>
    <row r="35" spans="1:24" x14ac:dyDescent="0.2">
      <c r="A35" s="56" t="s">
        <v>32</v>
      </c>
      <c r="B35" s="56">
        <v>1</v>
      </c>
      <c r="C35" s="35">
        <v>250000</v>
      </c>
      <c r="D35" s="35">
        <v>0</v>
      </c>
      <c r="E35" s="41">
        <v>4</v>
      </c>
      <c r="G35" s="5">
        <f>SUM(C35:D35)</f>
        <v>250000</v>
      </c>
      <c r="H35" s="5">
        <f>(B35*G35)/E35</f>
        <v>62500</v>
      </c>
      <c r="I35" s="79">
        <f>B35*G35</f>
        <v>250000</v>
      </c>
      <c r="J35" s="36">
        <f>'Base Case Totals'!J3</f>
        <v>0.7</v>
      </c>
      <c r="K35" s="79">
        <f>I35*J35</f>
        <v>175000</v>
      </c>
      <c r="L35" s="36">
        <f>1-('Base Case Totals'!B$67)</f>
        <v>0.5</v>
      </c>
      <c r="M35" s="82">
        <f t="shared" ref="M35:M38" si="3">K35*B$47*(L35)</f>
        <v>17500000</v>
      </c>
      <c r="N35" s="5">
        <f>H35-K35</f>
        <v>-112500</v>
      </c>
      <c r="P35" s="35">
        <f>C35*0.3</f>
        <v>75000</v>
      </c>
      <c r="Q35" s="36">
        <f>'Base Case Totals'!P3</f>
        <v>0.7</v>
      </c>
      <c r="R35" s="5">
        <f>P35*Q35</f>
        <v>52500</v>
      </c>
      <c r="S35" s="5">
        <f>P35-R35</f>
        <v>22500</v>
      </c>
      <c r="T35" s="5"/>
      <c r="U35" s="5">
        <f>(J35*H35)+(Q35*P35)</f>
        <v>96250</v>
      </c>
      <c r="V35" s="5">
        <f>N35+S35</f>
        <v>-90000</v>
      </c>
      <c r="W35" s="5">
        <f>U35+V35</f>
        <v>6250</v>
      </c>
      <c r="X35" s="79">
        <f>R35*B$43*(1-L35)</f>
        <v>111326250</v>
      </c>
    </row>
    <row r="36" spans="1:24" x14ac:dyDescent="0.2">
      <c r="A36" s="56" t="s">
        <v>33</v>
      </c>
      <c r="B36" s="56">
        <v>1</v>
      </c>
      <c r="C36" s="35">
        <v>250000</v>
      </c>
      <c r="D36" s="35">
        <v>0</v>
      </c>
      <c r="E36" s="41">
        <v>4</v>
      </c>
      <c r="G36" s="5">
        <f>SUM(C36:D36)</f>
        <v>250000</v>
      </c>
      <c r="H36" s="5">
        <f>(B36*G36)/E36</f>
        <v>62500</v>
      </c>
      <c r="I36" s="79">
        <f>B36*G36</f>
        <v>250000</v>
      </c>
      <c r="J36" s="36">
        <f>'Base Case Totals'!J3</f>
        <v>0.7</v>
      </c>
      <c r="K36" s="79">
        <f>I36*J36</f>
        <v>175000</v>
      </c>
      <c r="L36" s="36">
        <f>1-('Base Case Totals'!B$67)</f>
        <v>0.5</v>
      </c>
      <c r="M36" s="82">
        <f t="shared" si="3"/>
        <v>17500000</v>
      </c>
      <c r="N36" s="5">
        <f>H36-K36</f>
        <v>-112500</v>
      </c>
      <c r="P36" s="35">
        <f>C36*0.3</f>
        <v>75000</v>
      </c>
      <c r="Q36" s="36">
        <f>'Base Case Totals'!P3</f>
        <v>0.7</v>
      </c>
      <c r="R36" s="5">
        <f>P36*Q36</f>
        <v>52500</v>
      </c>
      <c r="S36" s="5">
        <f>P36-R36</f>
        <v>22500</v>
      </c>
      <c r="T36" s="5"/>
      <c r="U36" s="5">
        <f>(J36*H36)+(Q36*P36)</f>
        <v>96250</v>
      </c>
      <c r="V36" s="5">
        <f>N36+S36</f>
        <v>-90000</v>
      </c>
      <c r="W36" s="5">
        <f>U36+V36</f>
        <v>6250</v>
      </c>
      <c r="X36" s="79">
        <f>R36*B$43*(1-L36)</f>
        <v>111326250</v>
      </c>
    </row>
    <row r="37" spans="1:24" x14ac:dyDescent="0.2">
      <c r="A37" s="56" t="s">
        <v>58</v>
      </c>
      <c r="B37" s="56">
        <v>1</v>
      </c>
      <c r="C37" s="35">
        <v>50000</v>
      </c>
      <c r="D37" s="35">
        <v>0</v>
      </c>
      <c r="E37" s="41">
        <v>6</v>
      </c>
      <c r="G37" s="5">
        <f>SUM(C37:D37)</f>
        <v>50000</v>
      </c>
      <c r="H37" s="5">
        <f>(B37*G37)/E37</f>
        <v>8333.3333333333339</v>
      </c>
      <c r="I37" s="79">
        <f>B37*G37</f>
        <v>50000</v>
      </c>
      <c r="J37" s="36">
        <f>'Base Case Totals'!J3</f>
        <v>0.7</v>
      </c>
      <c r="K37" s="79">
        <f>I37*J37</f>
        <v>35000</v>
      </c>
      <c r="L37" s="36">
        <f>1-('Base Case Totals'!B$64)</f>
        <v>0.4</v>
      </c>
      <c r="M37" s="82">
        <f t="shared" si="3"/>
        <v>2800000</v>
      </c>
      <c r="N37" s="5">
        <f>H37-K37</f>
        <v>-26666.666666666664</v>
      </c>
      <c r="P37" s="35">
        <f>C37*0.15</f>
        <v>7500</v>
      </c>
      <c r="Q37" s="36">
        <f>'Base Case Totals'!P3</f>
        <v>0.7</v>
      </c>
      <c r="R37" s="5">
        <f>P37*Q37</f>
        <v>5250</v>
      </c>
      <c r="S37" s="5">
        <f>P37-R37</f>
        <v>2250</v>
      </c>
      <c r="T37" s="5"/>
      <c r="U37" s="5">
        <f>(J37*H37)+(Q37*P37)</f>
        <v>11083.333333333332</v>
      </c>
      <c r="V37" s="5">
        <f>N37+S37</f>
        <v>-24416.666666666664</v>
      </c>
      <c r="W37" s="5">
        <f>U37+V37</f>
        <v>-13333.333333333332</v>
      </c>
      <c r="X37" s="79">
        <f>R37*B$43*(1-L37)</f>
        <v>13359150</v>
      </c>
    </row>
    <row r="38" spans="1:24" x14ac:dyDescent="0.2">
      <c r="A38" s="46" t="s">
        <v>55</v>
      </c>
      <c r="B38" s="46">
        <v>1</v>
      </c>
      <c r="C38" s="39">
        <v>5000</v>
      </c>
      <c r="D38" s="39">
        <v>0</v>
      </c>
      <c r="E38" s="13">
        <v>12</v>
      </c>
      <c r="F38" s="28"/>
      <c r="G38" s="32">
        <f>SUM(C38:D38)</f>
        <v>5000</v>
      </c>
      <c r="H38" s="32">
        <f>(B38*G38)/E38</f>
        <v>416.66666666666669</v>
      </c>
      <c r="I38" s="79">
        <f>B38*G38</f>
        <v>5000</v>
      </c>
      <c r="J38" s="27">
        <f>'Base Case Totals'!J3</f>
        <v>0.7</v>
      </c>
      <c r="K38" s="79">
        <f>I38*J38</f>
        <v>3500</v>
      </c>
      <c r="L38" s="63">
        <f>1-('Base Case Totals'!B$65)</f>
        <v>0.19999999999999996</v>
      </c>
      <c r="M38" s="82">
        <f t="shared" si="3"/>
        <v>139999.99999999997</v>
      </c>
      <c r="N38" s="32">
        <f>H38-K38</f>
        <v>-3083.3333333333335</v>
      </c>
      <c r="O38" s="28"/>
      <c r="P38" s="39">
        <v>0</v>
      </c>
      <c r="Q38" s="27">
        <f>'Base Case Totals'!P3</f>
        <v>0.7</v>
      </c>
      <c r="R38" s="32">
        <f>P38*Q38</f>
        <v>0</v>
      </c>
      <c r="S38" s="32">
        <f>P38-R38</f>
        <v>0</v>
      </c>
      <c r="T38" s="32"/>
      <c r="U38" s="32">
        <f>(J38*H38)+(Q38*P38)</f>
        <v>291.66666666666669</v>
      </c>
      <c r="V38" s="32">
        <f>N38+S38</f>
        <v>-3083.3333333333335</v>
      </c>
      <c r="W38" s="32">
        <f>U38+V38</f>
        <v>-2791.666666666667</v>
      </c>
      <c r="X38" s="79">
        <f>R38*B$43*(1-L38)</f>
        <v>0</v>
      </c>
    </row>
    <row r="39" spans="1:24" x14ac:dyDescent="0.2">
      <c r="A39" s="6" t="s">
        <v>18</v>
      </c>
      <c r="B39" s="6"/>
      <c r="C39" s="6"/>
      <c r="D39" s="6"/>
      <c r="E39" s="9"/>
      <c r="F39" s="6"/>
      <c r="G39" s="15"/>
      <c r="H39" s="15">
        <f>SUM(H34:H38)</f>
        <v>175416.66666666666</v>
      </c>
      <c r="I39" s="15">
        <f>SUM(I34:I38)</f>
        <v>805000</v>
      </c>
      <c r="J39" s="6"/>
      <c r="K39" s="15">
        <f>SUM(K34:K38)</f>
        <v>563500</v>
      </c>
      <c r="L39" s="66"/>
      <c r="M39" s="15">
        <f>SUM(M34:M38)</f>
        <v>51940000</v>
      </c>
      <c r="N39" s="15">
        <f>SUM(N34:N38)</f>
        <v>-388083.33333333337</v>
      </c>
      <c r="O39" s="19"/>
      <c r="P39" s="15">
        <f>SUM(P34:P38)</f>
        <v>195000</v>
      </c>
      <c r="Q39" s="15"/>
      <c r="R39" s="15">
        <f>SUM(R34:R38)</f>
        <v>136500</v>
      </c>
      <c r="S39" s="15">
        <f>SUM(S34:S38)</f>
        <v>58500</v>
      </c>
      <c r="T39" s="15"/>
      <c r="U39" s="15">
        <f>SUM(U34:U38)</f>
        <v>259291.66666666666</v>
      </c>
      <c r="V39" s="15">
        <f>SUM(V34:V38)</f>
        <v>-329583.33333333337</v>
      </c>
      <c r="W39" s="15">
        <f>SUM(W34:W38)</f>
        <v>-70291.666666666686</v>
      </c>
      <c r="X39" s="15">
        <f>SUM(X34:X38)</f>
        <v>302807400</v>
      </c>
    </row>
    <row r="40" spans="1:24" x14ac:dyDescent="0.2">
      <c r="W40" s="5"/>
    </row>
    <row r="41" spans="1:24" ht="12.75" customHeight="1" x14ac:dyDescent="0.2">
      <c r="A41" s="98" t="s">
        <v>76</v>
      </c>
      <c r="B41" s="2"/>
      <c r="C41" s="2"/>
      <c r="D41" s="2"/>
      <c r="E41" s="2"/>
      <c r="F41" s="2"/>
      <c r="H41" s="106"/>
      <c r="I41" s="106"/>
      <c r="J41" s="135" t="s">
        <v>77</v>
      </c>
      <c r="K41" s="135"/>
      <c r="L41" s="135"/>
      <c r="M41" s="107">
        <f>M5+M13+M21+M30+M39</f>
        <v>204470700</v>
      </c>
      <c r="N41" s="106"/>
      <c r="O41" s="2"/>
      <c r="P41" s="130" t="s">
        <v>4</v>
      </c>
      <c r="Q41" s="130"/>
      <c r="R41" s="130"/>
      <c r="S41" s="130"/>
      <c r="T41" s="2"/>
      <c r="U41" s="129" t="s">
        <v>5</v>
      </c>
      <c r="V41" s="129"/>
      <c r="W41" s="48"/>
    </row>
    <row r="42" spans="1:24" ht="18" customHeight="1" x14ac:dyDescent="0.2">
      <c r="B42" s="57" t="s">
        <v>6</v>
      </c>
      <c r="H42" s="20" t="s">
        <v>49</v>
      </c>
      <c r="I42" s="20"/>
      <c r="K42" s="57"/>
      <c r="L42" s="57"/>
      <c r="M42" s="57"/>
      <c r="N42" s="57" t="s">
        <v>14</v>
      </c>
      <c r="P42" s="57" t="s">
        <v>59</v>
      </c>
      <c r="R42" s="11" t="s">
        <v>13</v>
      </c>
      <c r="S42" s="57" t="s">
        <v>14</v>
      </c>
      <c r="T42" s="29"/>
      <c r="U42" s="11" t="s">
        <v>51</v>
      </c>
      <c r="V42" s="57" t="s">
        <v>52</v>
      </c>
      <c r="W42" s="11" t="s">
        <v>18</v>
      </c>
    </row>
    <row r="43" spans="1:24" x14ac:dyDescent="0.2">
      <c r="A43" t="s">
        <v>60</v>
      </c>
      <c r="B43" s="53">
        <v>4241</v>
      </c>
      <c r="H43" s="5">
        <f>B43*H5</f>
        <v>6361500</v>
      </c>
      <c r="I43" s="79"/>
      <c r="K43" s="5"/>
      <c r="L43" s="79"/>
      <c r="M43" s="79"/>
      <c r="N43" s="5">
        <f>B43*N5</f>
        <v>-11450700</v>
      </c>
      <c r="P43" s="5">
        <f>B43*P5</f>
        <v>7633800</v>
      </c>
      <c r="R43" s="5">
        <f>B43*R5</f>
        <v>5343660</v>
      </c>
      <c r="S43" s="5">
        <f>B43*S5</f>
        <v>2290140</v>
      </c>
      <c r="T43" s="5"/>
      <c r="U43" s="30">
        <f>K43+R43</f>
        <v>5343660</v>
      </c>
      <c r="V43" s="30">
        <f t="shared" ref="V43:V47" si="4">N43+S43</f>
        <v>-9160560</v>
      </c>
      <c r="W43" s="5">
        <f>U43+V43</f>
        <v>-3816900</v>
      </c>
    </row>
    <row r="44" spans="1:24" x14ac:dyDescent="0.2">
      <c r="A44" t="s">
        <v>61</v>
      </c>
      <c r="B44" s="53">
        <v>7624</v>
      </c>
      <c r="H44" s="5">
        <f>B44*H13</f>
        <v>38120000.000000007</v>
      </c>
      <c r="I44" s="79"/>
      <c r="K44" s="5"/>
      <c r="L44" s="79"/>
      <c r="M44" s="79"/>
      <c r="N44" s="5">
        <f>B44*N13</f>
        <v>-108642000</v>
      </c>
      <c r="P44" s="5">
        <f>B44*P13</f>
        <v>37167000</v>
      </c>
      <c r="R44" s="5">
        <f>B44*R13</f>
        <v>26016900</v>
      </c>
      <c r="S44" s="5">
        <f>B44*S13</f>
        <v>11150100</v>
      </c>
      <c r="T44" s="5"/>
      <c r="U44" s="30">
        <f>K44+R44</f>
        <v>26016900</v>
      </c>
      <c r="V44" s="30">
        <f t="shared" si="4"/>
        <v>-97491900</v>
      </c>
      <c r="W44" s="5">
        <f>U44+V44</f>
        <v>-71475000</v>
      </c>
    </row>
    <row r="45" spans="1:24" x14ac:dyDescent="0.2">
      <c r="A45" t="s">
        <v>62</v>
      </c>
      <c r="B45" s="53">
        <f>3117</f>
        <v>3117</v>
      </c>
      <c r="H45" s="5">
        <f>B45*H21</f>
        <v>23377500.000000004</v>
      </c>
      <c r="I45" s="79"/>
      <c r="K45" s="5"/>
      <c r="L45" s="79"/>
      <c r="M45" s="79"/>
      <c r="N45" s="5">
        <f>B45*N21</f>
        <v>-58443750</v>
      </c>
      <c r="P45" s="5">
        <f>B45*P21</f>
        <v>24546375</v>
      </c>
      <c r="R45" s="5">
        <f>B45*R21</f>
        <v>17182462.5</v>
      </c>
      <c r="S45" s="5">
        <f>B45*S21</f>
        <v>7363912.5</v>
      </c>
      <c r="T45" s="5"/>
      <c r="U45" s="30">
        <f>K45+R45</f>
        <v>17182462.5</v>
      </c>
      <c r="V45" s="30">
        <f t="shared" si="4"/>
        <v>-51079837.5</v>
      </c>
      <c r="W45" s="5">
        <f>U45+V45</f>
        <v>-33897375</v>
      </c>
    </row>
    <row r="46" spans="1:24" x14ac:dyDescent="0.2">
      <c r="A46" t="s">
        <v>63</v>
      </c>
      <c r="B46" s="53">
        <v>882</v>
      </c>
      <c r="H46" s="5">
        <f>B46*H30</f>
        <v>33442499.999999996</v>
      </c>
      <c r="I46" s="79"/>
      <c r="K46" s="5"/>
      <c r="L46" s="79"/>
      <c r="M46" s="79"/>
      <c r="N46" s="5">
        <f>B46*N30</f>
        <v>-77689499.999999985</v>
      </c>
      <c r="P46" s="5">
        <f>B46*P30</f>
        <v>36382500</v>
      </c>
      <c r="R46" s="5">
        <f>B46*R30</f>
        <v>25467750</v>
      </c>
      <c r="S46" s="5">
        <f>B46*S30</f>
        <v>10914750</v>
      </c>
      <c r="T46" s="5"/>
      <c r="U46" s="30">
        <f>K46+R46</f>
        <v>25467750</v>
      </c>
      <c r="V46" s="30">
        <f t="shared" si="4"/>
        <v>-66774749.999999985</v>
      </c>
      <c r="W46" s="5">
        <f>U46+V46</f>
        <v>-41306999.999999985</v>
      </c>
    </row>
    <row r="47" spans="1:24" x14ac:dyDescent="0.2">
      <c r="A47" t="s">
        <v>64</v>
      </c>
      <c r="B47" s="53">
        <v>200</v>
      </c>
      <c r="H47" s="5">
        <f>B47*H39</f>
        <v>35083333.333333328</v>
      </c>
      <c r="I47" s="79"/>
      <c r="K47" s="5"/>
      <c r="L47" s="79"/>
      <c r="M47" s="79"/>
      <c r="N47" s="5">
        <f>B47*N39</f>
        <v>-77616666.666666672</v>
      </c>
      <c r="P47" s="5">
        <f>B47*P39</f>
        <v>39000000</v>
      </c>
      <c r="R47" s="5">
        <f>B47*R39</f>
        <v>27300000</v>
      </c>
      <c r="S47" s="5">
        <f>B47*S39</f>
        <v>11700000</v>
      </c>
      <c r="T47" s="5"/>
      <c r="U47" s="30">
        <f>K47+R47</f>
        <v>27300000</v>
      </c>
      <c r="V47" s="30">
        <f t="shared" si="4"/>
        <v>-65916666.666666672</v>
      </c>
      <c r="W47" s="5">
        <f>U47+V47</f>
        <v>-38616666.666666672</v>
      </c>
    </row>
    <row r="48" spans="1:24" x14ac:dyDescent="0.2">
      <c r="B48" s="53"/>
      <c r="W48" s="5"/>
    </row>
    <row r="49" spans="1:24" x14ac:dyDescent="0.2">
      <c r="A49" s="105" t="s">
        <v>75</v>
      </c>
      <c r="B49" s="53">
        <f>SUM(B43:B47)</f>
        <v>16064</v>
      </c>
      <c r="H49" s="5">
        <f>SUM(H43:H47)</f>
        <v>136384833.33333334</v>
      </c>
      <c r="I49" s="79"/>
      <c r="J49" s="5"/>
      <c r="K49" s="5"/>
      <c r="L49" s="79"/>
      <c r="N49" s="5">
        <f>SUM(N43:N47)</f>
        <v>-333842616.66666669</v>
      </c>
      <c r="O49" s="5"/>
      <c r="P49" s="5">
        <f>SUM(P43:P47)</f>
        <v>144729675</v>
      </c>
      <c r="Q49" s="5"/>
      <c r="R49" s="5">
        <f>SUM(R43:R47)</f>
        <v>101310772.5</v>
      </c>
      <c r="S49" s="5">
        <f>SUM(S43:S47)</f>
        <v>43418902.5</v>
      </c>
      <c r="T49" s="5"/>
      <c r="U49" s="5">
        <f>SUM(U43:U47)</f>
        <v>101310772.5</v>
      </c>
      <c r="V49" s="5">
        <f>SUM(V43:V47)</f>
        <v>-290423714.16666669</v>
      </c>
      <c r="W49" s="5">
        <f>U49+V49</f>
        <v>-189112941.66666669</v>
      </c>
      <c r="X49" s="79">
        <f>X5+X13+X21+X30+X39</f>
        <v>390087180</v>
      </c>
    </row>
    <row r="50" spans="1:24" x14ac:dyDescent="0.2">
      <c r="W50" s="5"/>
    </row>
    <row r="51" spans="1:24" x14ac:dyDescent="0.2">
      <c r="W51" s="5"/>
    </row>
    <row r="52" spans="1:24" x14ac:dyDescent="0.2">
      <c r="W52" s="5"/>
    </row>
    <row r="53" spans="1:24" x14ac:dyDescent="0.2">
      <c r="W53" s="5"/>
    </row>
    <row r="54" spans="1:24" x14ac:dyDescent="0.2">
      <c r="W54" s="5"/>
    </row>
    <row r="55" spans="1:24" x14ac:dyDescent="0.2">
      <c r="W55" s="5"/>
    </row>
    <row r="56" spans="1:24" x14ac:dyDescent="0.2">
      <c r="W56" s="5"/>
    </row>
    <row r="57" spans="1:24" x14ac:dyDescent="0.2">
      <c r="W57" s="5"/>
    </row>
    <row r="58" spans="1:24" x14ac:dyDescent="0.2">
      <c r="W58" s="5"/>
    </row>
    <row r="59" spans="1:24" x14ac:dyDescent="0.2">
      <c r="W59" s="5"/>
    </row>
  </sheetData>
  <mergeCells count="20">
    <mergeCell ref="A1:E1"/>
    <mergeCell ref="A7:E7"/>
    <mergeCell ref="G7:N7"/>
    <mergeCell ref="P7:S7"/>
    <mergeCell ref="U7:V7"/>
    <mergeCell ref="A15:D15"/>
    <mergeCell ref="G15:N15"/>
    <mergeCell ref="P15:S15"/>
    <mergeCell ref="U15:V15"/>
    <mergeCell ref="A23:D23"/>
    <mergeCell ref="G23:N23"/>
    <mergeCell ref="P23:S23"/>
    <mergeCell ref="U23:V23"/>
    <mergeCell ref="A32:D32"/>
    <mergeCell ref="G32:N32"/>
    <mergeCell ref="P32:S32"/>
    <mergeCell ref="U32:V32"/>
    <mergeCell ref="P41:S41"/>
    <mergeCell ref="U41:V41"/>
    <mergeCell ref="J41:L41"/>
  </mergeCells>
  <printOptions horizontalCentered="1"/>
  <pageMargins left="0.25" right="0.25" top="0.75" bottom="0.75" header="0.3" footer="0.3"/>
  <pageSetup scale="72" orientation="landscape" horizontalDpi="4294967292" verticalDpi="4294967292" r:id="rId1"/>
  <headerFooter scaleWithDoc="0" alignWithMargins="0">
    <oddHeader>&amp;C&amp;"Arial,Bold"Exhibit 1 (cont.)&amp;"Arial,Regular": LAN / Wi-Fi ConnectED Cost Model
District Level Calculations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 Case Totals</vt:lpstr>
      <vt:lpstr>Base Case District 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Shih</dc:creator>
  <cp:lastModifiedBy>user1</cp:lastModifiedBy>
  <cp:lastPrinted>2014-05-19T21:11:17Z</cp:lastPrinted>
  <dcterms:created xsi:type="dcterms:W3CDTF">2014-04-30T15:04:56Z</dcterms:created>
  <dcterms:modified xsi:type="dcterms:W3CDTF">2014-05-20T01:13:27Z</dcterms:modified>
</cp:coreProperties>
</file>